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omments6.xml" ContentType="application/vnd.openxmlformats-officedocument.spreadsheetml.comment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omments7.xml" ContentType="application/vnd.openxmlformats-officedocument.spreadsheetml.comment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filterPrivacy="1" defaultThemeVersion="124226"/>
  <bookViews>
    <workbookView xWindow="0" yWindow="0" windowWidth="11970" windowHeight="9525" tabRatio="880" xr2:uid="{00000000-000D-0000-FFFF-FFFF00000000}"/>
  </bookViews>
  <sheets>
    <sheet name="Coverpage" sheetId="30" r:id="rId1"/>
    <sheet name="README" sheetId="4" r:id="rId2"/>
    <sheet name="NO-EE Detailed" sheetId="7" r:id="rId3"/>
    <sheet name="Genset O&amp;M Costs" sheetId="21" r:id="rId4"/>
    <sheet name="Genset Capital Costs" sheetId="22" r:id="rId5"/>
    <sheet name="Assumptions" sheetId="20" r:id="rId6"/>
    <sheet name="Low-EE Detailed" sheetId="18" r:id="rId7"/>
    <sheet name="Low-EE no Stoves Detailed" sheetId="19" r:id="rId8"/>
    <sheet name="Med-EE Detailed" sheetId="16" r:id="rId9"/>
    <sheet name="Med-EE no Stoves Detailed" sheetId="17" r:id="rId10"/>
    <sheet name="High-EE Detailed" sheetId="9" r:id="rId11"/>
    <sheet name="High-EE no Stoves Detailed" sheetId="12" r:id="rId12"/>
    <sheet name="Highlights" sheetId="5" r:id="rId13"/>
    <sheet name="NPV Plotting" sheetId="24" r:id="rId14"/>
    <sheet name="Diesal Runtime" sheetId="27" r:id="rId15"/>
    <sheet name="Stoves" sheetId="28" r:id="rId16"/>
    <sheet name="Fuel Cost Sensitivity" sheetId="25" r:id="rId17"/>
    <sheet name="%Fuel Plotting" sheetId="26" r:id="rId18"/>
  </sheets>
  <externalReferences>
    <externalReference r:id="rId19"/>
  </externalReferences>
  <calcPr calcId="171027"/>
</workbook>
</file>

<file path=xl/calcChain.xml><?xml version="1.0" encoding="utf-8"?>
<calcChain xmlns="http://schemas.openxmlformats.org/spreadsheetml/2006/main">
  <c r="C86" i="4" l="1"/>
  <c r="C74" i="4"/>
  <c r="O242" i="19" l="1"/>
  <c r="E3" i="19" l="1"/>
  <c r="E4" i="19"/>
  <c r="E5" i="19"/>
  <c r="E6" i="19"/>
  <c r="E7" i="19"/>
  <c r="C60" i="4" l="1"/>
  <c r="C65" i="4"/>
  <c r="C55" i="4"/>
  <c r="B7" i="20"/>
  <c r="G9" i="20"/>
  <c r="B6" i="20" s="1"/>
  <c r="G8" i="20"/>
  <c r="U223" i="12"/>
  <c r="T223" i="12"/>
  <c r="S223" i="12"/>
  <c r="R223" i="12"/>
  <c r="Q223" i="12"/>
  <c r="P223" i="12"/>
  <c r="O223" i="12"/>
  <c r="N223" i="12"/>
  <c r="M223" i="12"/>
  <c r="L223" i="12"/>
  <c r="K223" i="12"/>
  <c r="J223" i="12"/>
  <c r="I223" i="12"/>
  <c r="H223" i="12"/>
  <c r="G223" i="12"/>
  <c r="F223" i="12"/>
  <c r="E223" i="12"/>
  <c r="D223" i="12"/>
  <c r="C223" i="12"/>
  <c r="B223" i="12"/>
  <c r="P223" i="9"/>
  <c r="O223" i="9"/>
  <c r="N223" i="9"/>
  <c r="M223" i="9"/>
  <c r="L223" i="9"/>
  <c r="K223" i="9"/>
  <c r="J223" i="9"/>
  <c r="I223" i="9"/>
  <c r="H223" i="9"/>
  <c r="G223" i="9"/>
  <c r="F223" i="9"/>
  <c r="E223" i="9"/>
  <c r="D223" i="9"/>
  <c r="C223" i="9"/>
  <c r="B223" i="9"/>
  <c r="S223" i="17"/>
  <c r="R223" i="17"/>
  <c r="Q223" i="17"/>
  <c r="P223" i="17"/>
  <c r="O223" i="17"/>
  <c r="N223" i="17"/>
  <c r="M223" i="17"/>
  <c r="L223" i="17"/>
  <c r="K223" i="17"/>
  <c r="J223" i="17"/>
  <c r="I223" i="17"/>
  <c r="H223" i="17"/>
  <c r="G223" i="17"/>
  <c r="F223" i="17"/>
  <c r="E223" i="17"/>
  <c r="D223" i="17"/>
  <c r="C223" i="17"/>
  <c r="B223" i="17"/>
  <c r="O223" i="16"/>
  <c r="N223" i="16"/>
  <c r="M223" i="16"/>
  <c r="L223" i="16"/>
  <c r="K223" i="16"/>
  <c r="J223" i="16"/>
  <c r="I223" i="16"/>
  <c r="H223" i="16"/>
  <c r="G223" i="16"/>
  <c r="F223" i="16"/>
  <c r="E223" i="16"/>
  <c r="D223" i="16"/>
  <c r="C223" i="16"/>
  <c r="B223" i="16"/>
  <c r="O223" i="19"/>
  <c r="N223" i="19"/>
  <c r="M223" i="19"/>
  <c r="L223" i="19"/>
  <c r="K223" i="19"/>
  <c r="J223" i="19"/>
  <c r="I223" i="19"/>
  <c r="H223" i="19"/>
  <c r="G223" i="19"/>
  <c r="F223" i="19"/>
  <c r="E223" i="19"/>
  <c r="E9" i="19" s="1"/>
  <c r="D223" i="19"/>
  <c r="C223" i="19"/>
  <c r="B223" i="19"/>
  <c r="U247" i="12"/>
  <c r="T247" i="12"/>
  <c r="S247" i="12"/>
  <c r="S251" i="12" s="1"/>
  <c r="R247" i="12"/>
  <c r="Q247" i="12"/>
  <c r="P247" i="12"/>
  <c r="O247" i="12"/>
  <c r="N247" i="12"/>
  <c r="M247" i="12"/>
  <c r="L247" i="12"/>
  <c r="L251" i="12" s="1"/>
  <c r="K247" i="12"/>
  <c r="J247" i="12"/>
  <c r="I247" i="12"/>
  <c r="I251" i="12" s="1"/>
  <c r="H247" i="12"/>
  <c r="G247" i="12"/>
  <c r="F247" i="12"/>
  <c r="F251" i="12" s="1"/>
  <c r="E247" i="12"/>
  <c r="D247" i="12"/>
  <c r="C247" i="12"/>
  <c r="C251" i="12" s="1"/>
  <c r="B247" i="12"/>
  <c r="U246" i="12"/>
  <c r="T246" i="12"/>
  <c r="S246" i="12"/>
  <c r="R246" i="12"/>
  <c r="Q246" i="12"/>
  <c r="P246" i="12"/>
  <c r="O246" i="12"/>
  <c r="N246" i="12"/>
  <c r="N248" i="12" s="1"/>
  <c r="M246" i="12"/>
  <c r="M248" i="12" s="1"/>
  <c r="L246" i="12"/>
  <c r="K246" i="12"/>
  <c r="K248" i="12" s="1"/>
  <c r="J246" i="12"/>
  <c r="J248" i="12" s="1"/>
  <c r="I246" i="12"/>
  <c r="I248" i="12" s="1"/>
  <c r="H246" i="12"/>
  <c r="H248" i="12" s="1"/>
  <c r="G246" i="12"/>
  <c r="F246" i="12"/>
  <c r="F248" i="12" s="1"/>
  <c r="E246" i="12"/>
  <c r="E248" i="12" s="1"/>
  <c r="D246" i="12"/>
  <c r="D248" i="12" s="1"/>
  <c r="C246" i="12"/>
  <c r="C248" i="12" s="1"/>
  <c r="B246" i="12"/>
  <c r="B248" i="12" s="1"/>
  <c r="P247" i="9"/>
  <c r="P251" i="9" s="1"/>
  <c r="O247" i="9"/>
  <c r="N247" i="9"/>
  <c r="M247" i="9"/>
  <c r="M251" i="9" s="1"/>
  <c r="L247" i="9"/>
  <c r="K247" i="9"/>
  <c r="J247" i="9"/>
  <c r="J251" i="9" s="1"/>
  <c r="I247" i="9"/>
  <c r="H247" i="9"/>
  <c r="G247" i="9"/>
  <c r="F247" i="9"/>
  <c r="F251" i="9" s="1"/>
  <c r="E247" i="9"/>
  <c r="D247" i="9"/>
  <c r="C247" i="9"/>
  <c r="C251" i="9" s="1"/>
  <c r="B247" i="9"/>
  <c r="P246" i="9"/>
  <c r="O246" i="9"/>
  <c r="N246" i="9"/>
  <c r="M246" i="9"/>
  <c r="L246" i="9"/>
  <c r="K246" i="9"/>
  <c r="J246" i="9"/>
  <c r="I246" i="9"/>
  <c r="H246" i="9"/>
  <c r="H248" i="9" s="1"/>
  <c r="G246" i="9"/>
  <c r="G248" i="9" s="1"/>
  <c r="F246" i="9"/>
  <c r="E246" i="9"/>
  <c r="E248" i="9" s="1"/>
  <c r="D246" i="9"/>
  <c r="D248" i="9" s="1"/>
  <c r="C246" i="9"/>
  <c r="C248" i="9" s="1"/>
  <c r="B246" i="9"/>
  <c r="B248" i="9" s="1"/>
  <c r="S247" i="17"/>
  <c r="R247" i="17"/>
  <c r="Q247" i="17"/>
  <c r="P247" i="17"/>
  <c r="O247" i="17"/>
  <c r="N247" i="17"/>
  <c r="N251" i="17" s="1"/>
  <c r="M247" i="17"/>
  <c r="L247" i="17"/>
  <c r="K247" i="17"/>
  <c r="K251" i="17" s="1"/>
  <c r="J247" i="17"/>
  <c r="I247" i="17"/>
  <c r="H247" i="17"/>
  <c r="H251" i="17" s="1"/>
  <c r="G247" i="17"/>
  <c r="F247" i="17"/>
  <c r="E247" i="17"/>
  <c r="D247" i="17"/>
  <c r="C247" i="17"/>
  <c r="C251" i="17" s="1"/>
  <c r="B247" i="17"/>
  <c r="S246" i="17"/>
  <c r="R246" i="17"/>
  <c r="Q246" i="17"/>
  <c r="P246" i="17"/>
  <c r="O246" i="17"/>
  <c r="N246" i="17"/>
  <c r="M246" i="17"/>
  <c r="M248" i="17" s="1"/>
  <c r="L246" i="17"/>
  <c r="L248" i="17" s="1"/>
  <c r="K246" i="17"/>
  <c r="K248" i="17" s="1"/>
  <c r="J246" i="17"/>
  <c r="I246" i="17"/>
  <c r="I248" i="17" s="1"/>
  <c r="H246" i="17"/>
  <c r="H248" i="17" s="1"/>
  <c r="G246" i="17"/>
  <c r="G248" i="17" s="1"/>
  <c r="F246" i="17"/>
  <c r="E246" i="17"/>
  <c r="D246" i="17"/>
  <c r="D248" i="17" s="1"/>
  <c r="C246" i="17"/>
  <c r="C248" i="17" s="1"/>
  <c r="B246" i="17"/>
  <c r="B248" i="17" s="1"/>
  <c r="O247" i="16"/>
  <c r="N247" i="16"/>
  <c r="M247" i="16"/>
  <c r="M251" i="16" s="1"/>
  <c r="L247" i="16"/>
  <c r="K247" i="16"/>
  <c r="K251" i="16" s="1"/>
  <c r="J247" i="16"/>
  <c r="I247" i="16"/>
  <c r="H247" i="16"/>
  <c r="G247" i="16"/>
  <c r="G251" i="16" s="1"/>
  <c r="F247" i="16"/>
  <c r="E247" i="16"/>
  <c r="D247" i="16"/>
  <c r="C247" i="16"/>
  <c r="C251" i="16" s="1"/>
  <c r="B247" i="16"/>
  <c r="O246" i="16"/>
  <c r="N246" i="16"/>
  <c r="M246" i="16"/>
  <c r="L246" i="16"/>
  <c r="K246" i="16"/>
  <c r="J246" i="16"/>
  <c r="J248" i="16" s="1"/>
  <c r="I246" i="16"/>
  <c r="H246" i="16"/>
  <c r="H248" i="16" s="1"/>
  <c r="G246" i="16"/>
  <c r="G248" i="16" s="1"/>
  <c r="F246" i="16"/>
  <c r="F248" i="16" s="1"/>
  <c r="E246" i="16"/>
  <c r="E248" i="16" s="1"/>
  <c r="D246" i="16"/>
  <c r="D248" i="16" s="1"/>
  <c r="C246" i="16"/>
  <c r="C248" i="16" s="1"/>
  <c r="B246" i="16"/>
  <c r="B248" i="16" s="1"/>
  <c r="O247" i="19"/>
  <c r="N247" i="19"/>
  <c r="N251" i="19" s="1"/>
  <c r="M247" i="19"/>
  <c r="L247" i="19"/>
  <c r="L251" i="19" s="1"/>
  <c r="K247" i="19"/>
  <c r="J247" i="19"/>
  <c r="I247" i="19"/>
  <c r="I251" i="19" s="1"/>
  <c r="H247" i="19"/>
  <c r="G247" i="19"/>
  <c r="F247" i="19"/>
  <c r="E247" i="19"/>
  <c r="E251" i="19" s="1"/>
  <c r="D247" i="19"/>
  <c r="C247" i="19"/>
  <c r="B247" i="19"/>
  <c r="O246" i="19"/>
  <c r="N246" i="19"/>
  <c r="M246" i="19"/>
  <c r="L246" i="19"/>
  <c r="K246" i="19"/>
  <c r="K248" i="19" s="1"/>
  <c r="J246" i="19"/>
  <c r="J248" i="19" s="1"/>
  <c r="I246" i="19"/>
  <c r="I248" i="19" s="1"/>
  <c r="H246" i="19"/>
  <c r="G246" i="19"/>
  <c r="G248" i="19" s="1"/>
  <c r="F246" i="19"/>
  <c r="F248" i="19" s="1"/>
  <c r="E246" i="19"/>
  <c r="D246" i="19"/>
  <c r="D248" i="19" s="1"/>
  <c r="C246" i="19"/>
  <c r="C248" i="19" s="1"/>
  <c r="B246" i="19"/>
  <c r="B248" i="19" s="1"/>
  <c r="B211" i="12"/>
  <c r="B210" i="12"/>
  <c r="B209" i="12"/>
  <c r="B211" i="9"/>
  <c r="B210" i="9"/>
  <c r="B209" i="9"/>
  <c r="B211" i="17"/>
  <c r="B210" i="17"/>
  <c r="B209" i="17"/>
  <c r="B211" i="16"/>
  <c r="M252" i="16" s="1"/>
  <c r="B210" i="16"/>
  <c r="B209" i="16"/>
  <c r="B211" i="19"/>
  <c r="B210" i="19"/>
  <c r="B209" i="19"/>
  <c r="P223" i="18"/>
  <c r="O223" i="18"/>
  <c r="N223" i="18"/>
  <c r="M223" i="18"/>
  <c r="L223" i="18"/>
  <c r="K223" i="18"/>
  <c r="J223" i="18"/>
  <c r="I223" i="18"/>
  <c r="H223" i="18"/>
  <c r="G223" i="18"/>
  <c r="F223" i="18"/>
  <c r="E223" i="18"/>
  <c r="D223" i="18"/>
  <c r="D9" i="18" s="1"/>
  <c r="B223" i="18"/>
  <c r="C223" i="18"/>
  <c r="C225" i="18"/>
  <c r="B209" i="18"/>
  <c r="B230" i="18"/>
  <c r="B211" i="18"/>
  <c r="B210" i="18"/>
  <c r="P247" i="18"/>
  <c r="P251" i="18" s="1"/>
  <c r="O247" i="18"/>
  <c r="O251" i="18" s="1"/>
  <c r="N247" i="18"/>
  <c r="N251" i="18" s="1"/>
  <c r="M247" i="18"/>
  <c r="M251" i="18" s="1"/>
  <c r="L247" i="18"/>
  <c r="L251" i="18" s="1"/>
  <c r="K247" i="18"/>
  <c r="K251" i="18" s="1"/>
  <c r="J247" i="18"/>
  <c r="J251" i="18" s="1"/>
  <c r="I247" i="18"/>
  <c r="I251" i="18" s="1"/>
  <c r="H247" i="18"/>
  <c r="H251" i="18" s="1"/>
  <c r="G247" i="18"/>
  <c r="G251" i="18" s="1"/>
  <c r="F247" i="18"/>
  <c r="F251" i="18" s="1"/>
  <c r="E247" i="18"/>
  <c r="E251" i="18" s="1"/>
  <c r="D247" i="18"/>
  <c r="D251" i="18" s="1"/>
  <c r="C247" i="18"/>
  <c r="C251" i="18" s="1"/>
  <c r="B247" i="18"/>
  <c r="B251" i="18" s="1"/>
  <c r="P246" i="18"/>
  <c r="P248" i="18" s="1"/>
  <c r="O246" i="18"/>
  <c r="O248" i="18" s="1"/>
  <c r="N246" i="18"/>
  <c r="M246" i="18"/>
  <c r="M248" i="18" s="1"/>
  <c r="L246" i="18"/>
  <c r="L248" i="18" s="1"/>
  <c r="K246" i="18"/>
  <c r="K248" i="18" s="1"/>
  <c r="J246" i="18"/>
  <c r="I246" i="18"/>
  <c r="I248" i="18" s="1"/>
  <c r="H246" i="18"/>
  <c r="H248" i="18" s="1"/>
  <c r="G246" i="18"/>
  <c r="G248" i="18" s="1"/>
  <c r="E246" i="18"/>
  <c r="E248" i="18" s="1"/>
  <c r="D246" i="18"/>
  <c r="D248" i="18" s="1"/>
  <c r="C246" i="18"/>
  <c r="C248" i="18" s="1"/>
  <c r="B246" i="18"/>
  <c r="B248" i="18" s="1"/>
  <c r="F246" i="18"/>
  <c r="F248" i="18" s="1"/>
  <c r="L248" i="12" l="1"/>
  <c r="F248" i="9"/>
  <c r="J248" i="9"/>
  <c r="M248" i="9"/>
  <c r="P248" i="9"/>
  <c r="H252" i="17"/>
  <c r="N248" i="17"/>
  <c r="M248" i="16"/>
  <c r="N248" i="19"/>
  <c r="S248" i="12"/>
  <c r="C252" i="17"/>
  <c r="M248" i="19"/>
  <c r="B252" i="12"/>
  <c r="K252" i="12"/>
  <c r="O252" i="12"/>
  <c r="R252" i="12"/>
  <c r="N248" i="16"/>
  <c r="R248" i="17"/>
  <c r="K252" i="17"/>
  <c r="G248" i="12"/>
  <c r="P248" i="12"/>
  <c r="T248" i="12"/>
  <c r="K248" i="16"/>
  <c r="D252" i="17"/>
  <c r="G252" i="17"/>
  <c r="L252" i="17"/>
  <c r="R252" i="17"/>
  <c r="N252" i="17"/>
  <c r="E252" i="19"/>
  <c r="I252" i="19"/>
  <c r="E248" i="17"/>
  <c r="J248" i="17"/>
  <c r="P248" i="17"/>
  <c r="S248" i="17"/>
  <c r="E248" i="19"/>
  <c r="L248" i="19"/>
  <c r="B252" i="17"/>
  <c r="E252" i="17"/>
  <c r="J252" i="17"/>
  <c r="M252" i="17"/>
  <c r="P252" i="17"/>
  <c r="S252" i="17"/>
  <c r="Q248" i="12"/>
  <c r="U248" i="12"/>
  <c r="O248" i="19"/>
  <c r="G252" i="19"/>
  <c r="J252" i="19"/>
  <c r="M252" i="19"/>
  <c r="O248" i="16"/>
  <c r="F248" i="17"/>
  <c r="O248" i="17"/>
  <c r="Q248" i="17"/>
  <c r="O248" i="12"/>
  <c r="R248" i="12"/>
  <c r="E252" i="12"/>
  <c r="H252" i="12"/>
  <c r="N252" i="12"/>
  <c r="Q252" i="12"/>
  <c r="U252" i="12"/>
  <c r="I248" i="9"/>
  <c r="L248" i="9"/>
  <c r="O248" i="9"/>
  <c r="M252" i="9"/>
  <c r="H252" i="9"/>
  <c r="C252" i="9"/>
  <c r="P252" i="9"/>
  <c r="K248" i="9"/>
  <c r="N248" i="9"/>
  <c r="B252" i="9"/>
  <c r="E252" i="9"/>
  <c r="I252" i="9"/>
  <c r="L252" i="9"/>
  <c r="O252" i="9"/>
  <c r="F252" i="9"/>
  <c r="J252" i="9"/>
  <c r="I252" i="16"/>
  <c r="K252" i="16"/>
  <c r="B252" i="16"/>
  <c r="J252" i="16"/>
  <c r="O252" i="16"/>
  <c r="C252" i="16"/>
  <c r="E252" i="16"/>
  <c r="L252" i="16"/>
  <c r="F252" i="16"/>
  <c r="I248" i="16"/>
  <c r="L248" i="16"/>
  <c r="G252" i="16"/>
  <c r="B252" i="19"/>
  <c r="D252" i="19"/>
  <c r="H252" i="19"/>
  <c r="K252" i="19"/>
  <c r="L252" i="19"/>
  <c r="H248" i="19"/>
  <c r="N252" i="19"/>
  <c r="N248" i="18"/>
  <c r="D251" i="12"/>
  <c r="G251" i="12"/>
  <c r="J251" i="12"/>
  <c r="M251" i="12"/>
  <c r="P251" i="12"/>
  <c r="T251" i="12"/>
  <c r="C252" i="12"/>
  <c r="F252" i="12"/>
  <c r="I252" i="12"/>
  <c r="L252" i="12"/>
  <c r="S252" i="12"/>
  <c r="E251" i="12"/>
  <c r="H251" i="12"/>
  <c r="N251" i="12"/>
  <c r="Q251" i="12"/>
  <c r="U251" i="12"/>
  <c r="D252" i="12"/>
  <c r="G252" i="12"/>
  <c r="J252" i="12"/>
  <c r="M252" i="12"/>
  <c r="P252" i="12"/>
  <c r="T252" i="12"/>
  <c r="B251" i="12"/>
  <c r="K251" i="12"/>
  <c r="O251" i="12"/>
  <c r="R251" i="12"/>
  <c r="H251" i="9"/>
  <c r="D252" i="9"/>
  <c r="G252" i="9"/>
  <c r="K252" i="9"/>
  <c r="N252" i="9"/>
  <c r="G251" i="9"/>
  <c r="N251" i="9"/>
  <c r="B251" i="9"/>
  <c r="E251" i="9"/>
  <c r="I251" i="9"/>
  <c r="L251" i="9"/>
  <c r="O251" i="9"/>
  <c r="D251" i="9"/>
  <c r="K251" i="9"/>
  <c r="F251" i="17"/>
  <c r="Q251" i="17"/>
  <c r="D251" i="17"/>
  <c r="G251" i="17"/>
  <c r="L251" i="17"/>
  <c r="R251" i="17"/>
  <c r="F252" i="17"/>
  <c r="I252" i="17"/>
  <c r="O252" i="17"/>
  <c r="Q252" i="17"/>
  <c r="I251" i="17"/>
  <c r="O251" i="17"/>
  <c r="B251" i="17"/>
  <c r="E251" i="17"/>
  <c r="J251" i="17"/>
  <c r="M251" i="17"/>
  <c r="P251" i="17"/>
  <c r="S251" i="17"/>
  <c r="E251" i="16"/>
  <c r="I251" i="16"/>
  <c r="L251" i="16"/>
  <c r="D252" i="16"/>
  <c r="H252" i="16"/>
  <c r="N252" i="16"/>
  <c r="H251" i="16"/>
  <c r="N251" i="16"/>
  <c r="B251" i="16"/>
  <c r="F251" i="16"/>
  <c r="J251" i="16"/>
  <c r="O251" i="16"/>
  <c r="D251" i="16"/>
  <c r="C251" i="19"/>
  <c r="F251" i="19"/>
  <c r="O251" i="19"/>
  <c r="G251" i="19"/>
  <c r="J251" i="19"/>
  <c r="M251" i="19"/>
  <c r="C252" i="19"/>
  <c r="F252" i="19"/>
  <c r="O252" i="19"/>
  <c r="B251" i="19"/>
  <c r="D251" i="19"/>
  <c r="H251" i="19"/>
  <c r="K251" i="19"/>
  <c r="J248" i="18"/>
  <c r="E252" i="18"/>
  <c r="I252" i="18"/>
  <c r="L252" i="18"/>
  <c r="O252" i="18"/>
  <c r="C252" i="18"/>
  <c r="F252" i="18"/>
  <c r="M252" i="18"/>
  <c r="P252" i="18"/>
  <c r="B252" i="18"/>
  <c r="D252" i="18"/>
  <c r="G252" i="18"/>
  <c r="J252" i="18"/>
  <c r="N252" i="18"/>
  <c r="H252" i="18"/>
  <c r="K252" i="18"/>
  <c r="O9" i="16" l="1"/>
  <c r="N9" i="16"/>
  <c r="M9" i="16"/>
  <c r="L9" i="16"/>
  <c r="K9" i="16"/>
  <c r="J9" i="16"/>
  <c r="I9" i="16"/>
  <c r="H9" i="16"/>
  <c r="G9" i="16"/>
  <c r="F9" i="16"/>
  <c r="E9" i="16"/>
  <c r="D9" i="16"/>
  <c r="C9" i="16"/>
  <c r="B9" i="16"/>
  <c r="B213" i="7" l="1"/>
  <c r="C111" i="7"/>
  <c r="D215" i="18" l="1"/>
  <c r="D214" i="18"/>
  <c r="D213" i="18"/>
  <c r="D212" i="18"/>
  <c r="C234" i="18" l="1"/>
  <c r="B214" i="7" l="1"/>
  <c r="B143" i="7" l="1"/>
  <c r="B142" i="7"/>
  <c r="B141" i="7"/>
  <c r="B140" i="7"/>
  <c r="U163" i="12"/>
  <c r="T163" i="12"/>
  <c r="S163" i="12"/>
  <c r="R163" i="12"/>
  <c r="Q163" i="12"/>
  <c r="P163" i="12"/>
  <c r="O163" i="12"/>
  <c r="N163" i="12"/>
  <c r="M163" i="12"/>
  <c r="L163" i="12"/>
  <c r="K163" i="12"/>
  <c r="J163" i="12"/>
  <c r="I163" i="12"/>
  <c r="H163" i="12"/>
  <c r="G163" i="12"/>
  <c r="F163" i="12"/>
  <c r="E163" i="12"/>
  <c r="D163" i="12"/>
  <c r="C163" i="12"/>
  <c r="B163" i="12"/>
  <c r="U162" i="12"/>
  <c r="T162" i="12"/>
  <c r="S162" i="12"/>
  <c r="R162" i="12"/>
  <c r="Q162" i="12"/>
  <c r="P162" i="12"/>
  <c r="O162" i="12"/>
  <c r="N162" i="12"/>
  <c r="M162" i="12"/>
  <c r="L162" i="12"/>
  <c r="K162" i="12"/>
  <c r="J162" i="12"/>
  <c r="I162" i="12"/>
  <c r="H162" i="12"/>
  <c r="G162" i="12"/>
  <c r="F162" i="12"/>
  <c r="E162" i="12"/>
  <c r="D162" i="12"/>
  <c r="C162" i="12"/>
  <c r="B162" i="12"/>
  <c r="U161" i="12"/>
  <c r="T161" i="12"/>
  <c r="S161" i="12"/>
  <c r="R161" i="12"/>
  <c r="Q161" i="12"/>
  <c r="P161" i="12"/>
  <c r="O161" i="12"/>
  <c r="N161" i="12"/>
  <c r="M161" i="12"/>
  <c r="L161" i="12"/>
  <c r="K161" i="12"/>
  <c r="J161" i="12"/>
  <c r="I161" i="12"/>
  <c r="H161" i="12"/>
  <c r="G161" i="12"/>
  <c r="F161" i="12"/>
  <c r="E161" i="12"/>
  <c r="D161" i="12"/>
  <c r="C161" i="12"/>
  <c r="B161" i="12"/>
  <c r="U160" i="12"/>
  <c r="T160" i="12"/>
  <c r="S160" i="12"/>
  <c r="R160" i="12"/>
  <c r="Q160" i="12"/>
  <c r="P160" i="12"/>
  <c r="O160" i="12"/>
  <c r="N160" i="12"/>
  <c r="M160" i="12"/>
  <c r="L160" i="12"/>
  <c r="K160" i="12"/>
  <c r="J160" i="12"/>
  <c r="I160" i="12"/>
  <c r="H160" i="12"/>
  <c r="G160" i="12"/>
  <c r="F160" i="12"/>
  <c r="E160" i="12"/>
  <c r="D160" i="12"/>
  <c r="C160" i="12"/>
  <c r="B160" i="12"/>
  <c r="P163" i="9"/>
  <c r="O163" i="9"/>
  <c r="N163" i="9"/>
  <c r="M163" i="9"/>
  <c r="L163" i="9"/>
  <c r="K163" i="9"/>
  <c r="J163" i="9"/>
  <c r="I163" i="9"/>
  <c r="H163" i="9"/>
  <c r="G163" i="9"/>
  <c r="F163" i="9"/>
  <c r="E163" i="9"/>
  <c r="D163" i="9"/>
  <c r="C163" i="9"/>
  <c r="B163" i="9"/>
  <c r="P162" i="9"/>
  <c r="O162" i="9"/>
  <c r="N162" i="9"/>
  <c r="M162" i="9"/>
  <c r="L162" i="9"/>
  <c r="K162" i="9"/>
  <c r="J162" i="9"/>
  <c r="I162" i="9"/>
  <c r="H162" i="9"/>
  <c r="G162" i="9"/>
  <c r="F162" i="9"/>
  <c r="E162" i="9"/>
  <c r="D162" i="9"/>
  <c r="C162" i="9"/>
  <c r="B162" i="9"/>
  <c r="P161" i="9"/>
  <c r="O161" i="9"/>
  <c r="N161" i="9"/>
  <c r="M161" i="9"/>
  <c r="L161" i="9"/>
  <c r="K161" i="9"/>
  <c r="J161" i="9"/>
  <c r="I161" i="9"/>
  <c r="H161" i="9"/>
  <c r="G161" i="9"/>
  <c r="F161" i="9"/>
  <c r="E161" i="9"/>
  <c r="D161" i="9"/>
  <c r="C161" i="9"/>
  <c r="B161" i="9"/>
  <c r="P160" i="9"/>
  <c r="O160" i="9"/>
  <c r="N160" i="9"/>
  <c r="M160" i="9"/>
  <c r="L160" i="9"/>
  <c r="K160" i="9"/>
  <c r="J160" i="9"/>
  <c r="I160" i="9"/>
  <c r="H160" i="9"/>
  <c r="G160" i="9"/>
  <c r="F160" i="9"/>
  <c r="E160" i="9"/>
  <c r="D160" i="9"/>
  <c r="C160" i="9"/>
  <c r="B160" i="9"/>
  <c r="O163" i="16"/>
  <c r="N163" i="16"/>
  <c r="M163" i="16"/>
  <c r="L163" i="16"/>
  <c r="K163" i="16"/>
  <c r="J163" i="16"/>
  <c r="I163" i="16"/>
  <c r="H163" i="16"/>
  <c r="G163" i="16"/>
  <c r="F163" i="16"/>
  <c r="E163" i="16"/>
  <c r="D163" i="16"/>
  <c r="C163" i="16"/>
  <c r="B163" i="16"/>
  <c r="O162" i="16"/>
  <c r="N162" i="16"/>
  <c r="M162" i="16"/>
  <c r="L162" i="16"/>
  <c r="K162" i="16"/>
  <c r="J162" i="16"/>
  <c r="I162" i="16"/>
  <c r="H162" i="16"/>
  <c r="G162" i="16"/>
  <c r="F162" i="16"/>
  <c r="E162" i="16"/>
  <c r="D162" i="16"/>
  <c r="C162" i="16"/>
  <c r="B162" i="16"/>
  <c r="O161" i="16"/>
  <c r="N161" i="16"/>
  <c r="M161" i="16"/>
  <c r="L161" i="16"/>
  <c r="K161" i="16"/>
  <c r="J161" i="16"/>
  <c r="I161" i="16"/>
  <c r="H161" i="16"/>
  <c r="G161" i="16"/>
  <c r="F161" i="16"/>
  <c r="E161" i="16"/>
  <c r="D161" i="16"/>
  <c r="C161" i="16"/>
  <c r="B161" i="16"/>
  <c r="O160" i="16"/>
  <c r="N160" i="16"/>
  <c r="M160" i="16"/>
  <c r="L160" i="16"/>
  <c r="K160" i="16"/>
  <c r="J160" i="16"/>
  <c r="I160" i="16"/>
  <c r="H160" i="16"/>
  <c r="G160" i="16"/>
  <c r="F160" i="16"/>
  <c r="E160" i="16"/>
  <c r="D160" i="16"/>
  <c r="C160" i="16"/>
  <c r="B160" i="16"/>
  <c r="O163" i="19"/>
  <c r="N163" i="19"/>
  <c r="M163" i="19"/>
  <c r="L163" i="19"/>
  <c r="K163" i="19"/>
  <c r="J163" i="19"/>
  <c r="I163" i="19"/>
  <c r="H163" i="19"/>
  <c r="G163" i="19"/>
  <c r="F163" i="19"/>
  <c r="E163" i="19"/>
  <c r="D163" i="19"/>
  <c r="C163" i="19"/>
  <c r="B163" i="19"/>
  <c r="O162" i="19"/>
  <c r="N162" i="19"/>
  <c r="M162" i="19"/>
  <c r="L162" i="19"/>
  <c r="K162" i="19"/>
  <c r="J162" i="19"/>
  <c r="I162" i="19"/>
  <c r="H162" i="19"/>
  <c r="G162" i="19"/>
  <c r="F162" i="19"/>
  <c r="E162" i="19"/>
  <c r="D162" i="19"/>
  <c r="C162" i="19"/>
  <c r="B162" i="19"/>
  <c r="O161" i="19"/>
  <c r="N161" i="19"/>
  <c r="M161" i="19"/>
  <c r="L161" i="19"/>
  <c r="K161" i="19"/>
  <c r="J161" i="19"/>
  <c r="I161" i="19"/>
  <c r="H161" i="19"/>
  <c r="G161" i="19"/>
  <c r="F161" i="19"/>
  <c r="E161" i="19"/>
  <c r="D161" i="19"/>
  <c r="C161" i="19"/>
  <c r="B161" i="19"/>
  <c r="O160" i="19"/>
  <c r="N160" i="19"/>
  <c r="M160" i="19"/>
  <c r="L160" i="19"/>
  <c r="K160" i="19"/>
  <c r="J160" i="19"/>
  <c r="I160" i="19"/>
  <c r="H160" i="19"/>
  <c r="G160" i="19"/>
  <c r="F160" i="19"/>
  <c r="E160" i="19"/>
  <c r="D160" i="19"/>
  <c r="C160" i="19"/>
  <c r="B160" i="19"/>
  <c r="S163" i="17"/>
  <c r="R163" i="17"/>
  <c r="Q163" i="17"/>
  <c r="P163" i="17"/>
  <c r="S162" i="17"/>
  <c r="R162" i="17"/>
  <c r="Q162" i="17"/>
  <c r="P162" i="17"/>
  <c r="S161" i="17"/>
  <c r="R161" i="17"/>
  <c r="Q161" i="17"/>
  <c r="P161" i="17"/>
  <c r="S160" i="17"/>
  <c r="R160" i="17"/>
  <c r="Q160" i="17"/>
  <c r="P160" i="17"/>
  <c r="O163" i="17"/>
  <c r="N163" i="17"/>
  <c r="M163" i="17"/>
  <c r="L163" i="17"/>
  <c r="K163" i="17"/>
  <c r="J163" i="17"/>
  <c r="I163" i="17"/>
  <c r="H163" i="17"/>
  <c r="G163" i="17"/>
  <c r="F163" i="17"/>
  <c r="E163" i="17"/>
  <c r="D163" i="17"/>
  <c r="C163" i="17"/>
  <c r="B163" i="17"/>
  <c r="O162" i="17"/>
  <c r="N162" i="17"/>
  <c r="M162" i="17"/>
  <c r="L162" i="17"/>
  <c r="K162" i="17"/>
  <c r="J162" i="17"/>
  <c r="I162" i="17"/>
  <c r="H162" i="17"/>
  <c r="G162" i="17"/>
  <c r="F162" i="17"/>
  <c r="E162" i="17"/>
  <c r="D162" i="17"/>
  <c r="C162" i="17"/>
  <c r="B162" i="17"/>
  <c r="O161" i="17"/>
  <c r="N161" i="17"/>
  <c r="M161" i="17"/>
  <c r="L161" i="17"/>
  <c r="K161" i="17"/>
  <c r="J161" i="17"/>
  <c r="I161" i="17"/>
  <c r="H161" i="17"/>
  <c r="G161" i="17"/>
  <c r="F161" i="17"/>
  <c r="E161" i="17"/>
  <c r="D161" i="17"/>
  <c r="C161" i="17"/>
  <c r="B161" i="17"/>
  <c r="O160" i="17"/>
  <c r="N160" i="17"/>
  <c r="M160" i="17"/>
  <c r="L160" i="17"/>
  <c r="K160" i="17"/>
  <c r="J160" i="17"/>
  <c r="I160" i="17"/>
  <c r="H160" i="17"/>
  <c r="G160" i="17"/>
  <c r="F160" i="17"/>
  <c r="E160" i="17"/>
  <c r="D160" i="17"/>
  <c r="C160" i="17"/>
  <c r="B160" i="17"/>
  <c r="O169" i="17"/>
  <c r="O164" i="17" s="1"/>
  <c r="P163" i="18"/>
  <c r="O163" i="18"/>
  <c r="N163" i="18"/>
  <c r="M163" i="18"/>
  <c r="L163" i="18"/>
  <c r="K163" i="18"/>
  <c r="J163" i="18"/>
  <c r="I163" i="18"/>
  <c r="H163" i="18"/>
  <c r="G163" i="18"/>
  <c r="F163" i="18"/>
  <c r="E163" i="18"/>
  <c r="D163" i="18"/>
  <c r="C163" i="18"/>
  <c r="B163" i="18"/>
  <c r="P162" i="18"/>
  <c r="O162" i="18"/>
  <c r="N162" i="18"/>
  <c r="M162" i="18"/>
  <c r="L162" i="18"/>
  <c r="K162" i="18"/>
  <c r="J162" i="18"/>
  <c r="I162" i="18"/>
  <c r="H162" i="18"/>
  <c r="G162" i="18"/>
  <c r="F162" i="18"/>
  <c r="E162" i="18"/>
  <c r="D162" i="18"/>
  <c r="C162" i="18"/>
  <c r="B162" i="18"/>
  <c r="P161" i="18"/>
  <c r="O161" i="18"/>
  <c r="N161" i="18"/>
  <c r="M161" i="18"/>
  <c r="L161" i="18"/>
  <c r="K161" i="18"/>
  <c r="J161" i="18"/>
  <c r="I161" i="18"/>
  <c r="H161" i="18"/>
  <c r="G161" i="18"/>
  <c r="F161" i="18"/>
  <c r="E161" i="18"/>
  <c r="D161" i="18"/>
  <c r="C161" i="18"/>
  <c r="B161" i="18"/>
  <c r="P160" i="18"/>
  <c r="O160" i="18"/>
  <c r="N160" i="18"/>
  <c r="M160" i="18"/>
  <c r="L160" i="18"/>
  <c r="K160" i="18"/>
  <c r="J160" i="18"/>
  <c r="I160" i="18"/>
  <c r="H160" i="18"/>
  <c r="G160" i="18"/>
  <c r="F160" i="18"/>
  <c r="E160" i="18"/>
  <c r="D160" i="18"/>
  <c r="C160" i="18"/>
  <c r="B160" i="18"/>
  <c r="C149" i="7"/>
  <c r="R9" i="12" l="1"/>
  <c r="O9" i="12"/>
  <c r="K9" i="12"/>
  <c r="B9" i="12"/>
  <c r="U7" i="12"/>
  <c r="T7" i="12"/>
  <c r="S7" i="12"/>
  <c r="R7" i="12"/>
  <c r="Q7" i="12"/>
  <c r="P7" i="12"/>
  <c r="O7" i="12"/>
  <c r="N7" i="12"/>
  <c r="M7" i="12"/>
  <c r="L7" i="12"/>
  <c r="K7" i="12"/>
  <c r="J7" i="12"/>
  <c r="I7" i="12"/>
  <c r="H7" i="12"/>
  <c r="G7" i="12"/>
  <c r="F7" i="12"/>
  <c r="E7" i="12"/>
  <c r="D7" i="12"/>
  <c r="C7" i="12"/>
  <c r="B7" i="12"/>
  <c r="U6" i="12"/>
  <c r="T6" i="12"/>
  <c r="S6" i="12"/>
  <c r="R6" i="12"/>
  <c r="Q6" i="12"/>
  <c r="P6" i="12"/>
  <c r="O6" i="12"/>
  <c r="N6" i="12"/>
  <c r="M6" i="12"/>
  <c r="L6" i="12"/>
  <c r="K6" i="12"/>
  <c r="J6" i="12"/>
  <c r="I6" i="12"/>
  <c r="H6" i="12"/>
  <c r="G6" i="12"/>
  <c r="F6" i="12"/>
  <c r="E6" i="12"/>
  <c r="D6" i="12"/>
  <c r="C6" i="12"/>
  <c r="B6" i="12"/>
  <c r="U5" i="12"/>
  <c r="T5" i="12"/>
  <c r="S5" i="12"/>
  <c r="R5" i="12"/>
  <c r="Q5" i="12"/>
  <c r="P5" i="12"/>
  <c r="O5" i="12"/>
  <c r="N5" i="12"/>
  <c r="M5" i="12"/>
  <c r="L5" i="12"/>
  <c r="K5" i="12"/>
  <c r="J5" i="12"/>
  <c r="I5" i="12"/>
  <c r="H5" i="12"/>
  <c r="G5" i="12"/>
  <c r="F5" i="12"/>
  <c r="E5" i="12"/>
  <c r="D5" i="12"/>
  <c r="C5" i="12"/>
  <c r="B5" i="12"/>
  <c r="U4" i="12"/>
  <c r="T4" i="12"/>
  <c r="S4" i="12"/>
  <c r="R4" i="12"/>
  <c r="Q4" i="12"/>
  <c r="P4" i="12"/>
  <c r="O4" i="12"/>
  <c r="N4" i="12"/>
  <c r="M4" i="12"/>
  <c r="L4" i="12"/>
  <c r="K4" i="12"/>
  <c r="J4" i="12"/>
  <c r="I4" i="12"/>
  <c r="H4" i="12"/>
  <c r="G4" i="12"/>
  <c r="F4" i="12"/>
  <c r="E4" i="12"/>
  <c r="D4" i="12"/>
  <c r="C4" i="12"/>
  <c r="B4" i="12"/>
  <c r="U3" i="12"/>
  <c r="T3" i="12"/>
  <c r="S3" i="12"/>
  <c r="R3" i="12"/>
  <c r="Q3" i="12"/>
  <c r="P3" i="12"/>
  <c r="O3" i="12"/>
  <c r="N3" i="12"/>
  <c r="M3" i="12"/>
  <c r="L3" i="12"/>
  <c r="K3" i="12"/>
  <c r="J3" i="12"/>
  <c r="I3" i="12"/>
  <c r="H3" i="12"/>
  <c r="G3" i="12"/>
  <c r="F3" i="12"/>
  <c r="E3" i="12"/>
  <c r="D3" i="12"/>
  <c r="C3" i="12"/>
  <c r="B3" i="12"/>
  <c r="P7" i="9"/>
  <c r="O7" i="9"/>
  <c r="N7" i="9"/>
  <c r="M7" i="9"/>
  <c r="L7" i="9"/>
  <c r="K7" i="9"/>
  <c r="J7" i="9"/>
  <c r="I7" i="9"/>
  <c r="H7" i="9"/>
  <c r="G7" i="9"/>
  <c r="F7" i="9"/>
  <c r="E7" i="9"/>
  <c r="D7" i="9"/>
  <c r="C7" i="9"/>
  <c r="B7" i="9"/>
  <c r="P6" i="9"/>
  <c r="O6" i="9"/>
  <c r="N6" i="9"/>
  <c r="M6" i="9"/>
  <c r="L6" i="9"/>
  <c r="K6" i="9"/>
  <c r="J6" i="9"/>
  <c r="I6" i="9"/>
  <c r="H6" i="9"/>
  <c r="G6" i="9"/>
  <c r="F6" i="9"/>
  <c r="E6" i="9"/>
  <c r="D6" i="9"/>
  <c r="C6" i="9"/>
  <c r="B6" i="9"/>
  <c r="P5" i="9"/>
  <c r="O5" i="9"/>
  <c r="N5" i="9"/>
  <c r="M5" i="9"/>
  <c r="L5" i="9"/>
  <c r="K5" i="9"/>
  <c r="J5" i="9"/>
  <c r="I5" i="9"/>
  <c r="H5" i="9"/>
  <c r="G5" i="9"/>
  <c r="F5" i="9"/>
  <c r="E5" i="9"/>
  <c r="D5" i="9"/>
  <c r="C5" i="9"/>
  <c r="B5" i="9"/>
  <c r="P4" i="9"/>
  <c r="O4" i="9"/>
  <c r="N4" i="9"/>
  <c r="M4" i="9"/>
  <c r="L4" i="9"/>
  <c r="K4" i="9"/>
  <c r="J4" i="9"/>
  <c r="I4" i="9"/>
  <c r="H4" i="9"/>
  <c r="G4" i="9"/>
  <c r="F4" i="9"/>
  <c r="E4" i="9"/>
  <c r="D4" i="9"/>
  <c r="C4" i="9"/>
  <c r="B4" i="9"/>
  <c r="P3" i="9"/>
  <c r="O3" i="9"/>
  <c r="N3" i="9"/>
  <c r="M3" i="9"/>
  <c r="L3" i="9"/>
  <c r="K3" i="9"/>
  <c r="J3" i="9"/>
  <c r="I3" i="9"/>
  <c r="H3" i="9"/>
  <c r="G3" i="9"/>
  <c r="F3" i="9"/>
  <c r="E3" i="9"/>
  <c r="D3" i="9"/>
  <c r="C3" i="9"/>
  <c r="B3" i="9"/>
  <c r="O7" i="16"/>
  <c r="N7" i="16"/>
  <c r="M7" i="16"/>
  <c r="L7" i="16"/>
  <c r="K7" i="16"/>
  <c r="J7" i="16"/>
  <c r="I7" i="16"/>
  <c r="H7" i="16"/>
  <c r="G7" i="16"/>
  <c r="F7" i="16"/>
  <c r="E7" i="16"/>
  <c r="D7" i="16"/>
  <c r="C7" i="16"/>
  <c r="B7" i="16"/>
  <c r="O6" i="16"/>
  <c r="N6" i="16"/>
  <c r="M6" i="16"/>
  <c r="L6" i="16"/>
  <c r="K6" i="16"/>
  <c r="J6" i="16"/>
  <c r="I6" i="16"/>
  <c r="H6" i="16"/>
  <c r="G6" i="16"/>
  <c r="F6" i="16"/>
  <c r="E6" i="16"/>
  <c r="D6" i="16"/>
  <c r="C6" i="16"/>
  <c r="B6" i="16"/>
  <c r="O5" i="16"/>
  <c r="N5" i="16"/>
  <c r="M5" i="16"/>
  <c r="L5" i="16"/>
  <c r="K5" i="16"/>
  <c r="J5" i="16"/>
  <c r="I5" i="16"/>
  <c r="H5" i="16"/>
  <c r="G5" i="16"/>
  <c r="F5" i="16"/>
  <c r="E5" i="16"/>
  <c r="D5" i="16"/>
  <c r="C5" i="16"/>
  <c r="B5" i="16"/>
  <c r="O4" i="16"/>
  <c r="N4" i="16"/>
  <c r="M4" i="16"/>
  <c r="L4" i="16"/>
  <c r="K4" i="16"/>
  <c r="J4" i="16"/>
  <c r="I4" i="16"/>
  <c r="H4" i="16"/>
  <c r="G4" i="16"/>
  <c r="F4" i="16"/>
  <c r="E4" i="16"/>
  <c r="D4" i="16"/>
  <c r="C4" i="16"/>
  <c r="B4" i="16"/>
  <c r="O3" i="16"/>
  <c r="N3" i="16"/>
  <c r="M3" i="16"/>
  <c r="L3" i="16"/>
  <c r="K3" i="16"/>
  <c r="J3" i="16"/>
  <c r="I3" i="16"/>
  <c r="H3" i="16"/>
  <c r="G3" i="16"/>
  <c r="F3" i="16"/>
  <c r="E3" i="16"/>
  <c r="D3" i="16"/>
  <c r="C3" i="16"/>
  <c r="B3" i="16"/>
  <c r="O7" i="19"/>
  <c r="N7" i="19"/>
  <c r="M7" i="19"/>
  <c r="L7" i="19"/>
  <c r="K7" i="19"/>
  <c r="J7" i="19"/>
  <c r="I7" i="19"/>
  <c r="H7" i="19"/>
  <c r="G7" i="19"/>
  <c r="F7" i="19"/>
  <c r="D7" i="19"/>
  <c r="C7" i="19"/>
  <c r="B7" i="19"/>
  <c r="O6" i="19"/>
  <c r="N6" i="19"/>
  <c r="M6" i="19"/>
  <c r="L6" i="19"/>
  <c r="K6" i="19"/>
  <c r="J6" i="19"/>
  <c r="I6" i="19"/>
  <c r="H6" i="19"/>
  <c r="G6" i="19"/>
  <c r="F6" i="19"/>
  <c r="D6" i="19"/>
  <c r="C6" i="19"/>
  <c r="B6" i="19"/>
  <c r="O5" i="19"/>
  <c r="N5" i="19"/>
  <c r="M5" i="19"/>
  <c r="L5" i="19"/>
  <c r="K5" i="19"/>
  <c r="J5" i="19"/>
  <c r="I5" i="19"/>
  <c r="H5" i="19"/>
  <c r="G5" i="19"/>
  <c r="F5" i="19"/>
  <c r="D5" i="19"/>
  <c r="C5" i="19"/>
  <c r="B5" i="19"/>
  <c r="O4" i="19"/>
  <c r="N4" i="19"/>
  <c r="M4" i="19"/>
  <c r="L4" i="19"/>
  <c r="K4" i="19"/>
  <c r="J4" i="19"/>
  <c r="I4" i="19"/>
  <c r="H4" i="19"/>
  <c r="G4" i="19"/>
  <c r="F4" i="19"/>
  <c r="D4" i="19"/>
  <c r="C4" i="19"/>
  <c r="B4" i="19"/>
  <c r="O3" i="19"/>
  <c r="N3" i="19"/>
  <c r="M3" i="19"/>
  <c r="L3" i="19"/>
  <c r="K3" i="19"/>
  <c r="J3" i="19"/>
  <c r="I3" i="19"/>
  <c r="H3" i="19"/>
  <c r="G3" i="19"/>
  <c r="F3" i="19"/>
  <c r="D3" i="19"/>
  <c r="C3" i="19"/>
  <c r="B3" i="19"/>
  <c r="S7" i="17"/>
  <c r="S6" i="17"/>
  <c r="S5" i="17"/>
  <c r="S4" i="17"/>
  <c r="S3" i="17"/>
  <c r="R7" i="17"/>
  <c r="R6" i="17"/>
  <c r="R5" i="17"/>
  <c r="R4" i="17"/>
  <c r="R3" i="17"/>
  <c r="Q7" i="17"/>
  <c r="Q6" i="17"/>
  <c r="Q5" i="17"/>
  <c r="Q4" i="17"/>
  <c r="Q3" i="17"/>
  <c r="P7" i="17"/>
  <c r="P6" i="17"/>
  <c r="P5" i="17"/>
  <c r="P4" i="17"/>
  <c r="P3" i="17"/>
  <c r="O7" i="17"/>
  <c r="N7" i="17"/>
  <c r="M7" i="17"/>
  <c r="L7" i="17"/>
  <c r="K7" i="17"/>
  <c r="J7" i="17"/>
  <c r="I7" i="17"/>
  <c r="H7" i="17"/>
  <c r="G7" i="17"/>
  <c r="F7" i="17"/>
  <c r="E7" i="17"/>
  <c r="D7" i="17"/>
  <c r="C7" i="17"/>
  <c r="B7" i="17"/>
  <c r="O6" i="17"/>
  <c r="N6" i="17"/>
  <c r="M6" i="17"/>
  <c r="L6" i="17"/>
  <c r="K6" i="17"/>
  <c r="J6" i="17"/>
  <c r="I6" i="17"/>
  <c r="H6" i="17"/>
  <c r="G6" i="17"/>
  <c r="F6" i="17"/>
  <c r="E6" i="17"/>
  <c r="D6" i="17"/>
  <c r="C6" i="17"/>
  <c r="B6" i="17"/>
  <c r="O5" i="17"/>
  <c r="N5" i="17"/>
  <c r="M5" i="17"/>
  <c r="L5" i="17"/>
  <c r="K5" i="17"/>
  <c r="J5" i="17"/>
  <c r="I5" i="17"/>
  <c r="H5" i="17"/>
  <c r="G5" i="17"/>
  <c r="F5" i="17"/>
  <c r="E5" i="17"/>
  <c r="D5" i="17"/>
  <c r="C5" i="17"/>
  <c r="B5" i="17"/>
  <c r="O4" i="17"/>
  <c r="N4" i="17"/>
  <c r="M4" i="17"/>
  <c r="L4" i="17"/>
  <c r="K4" i="17"/>
  <c r="J4" i="17"/>
  <c r="I4" i="17"/>
  <c r="H4" i="17"/>
  <c r="G4" i="17"/>
  <c r="F4" i="17"/>
  <c r="E4" i="17"/>
  <c r="D4" i="17"/>
  <c r="C4" i="17"/>
  <c r="B4" i="17"/>
  <c r="O3" i="17"/>
  <c r="N3" i="17"/>
  <c r="M3" i="17"/>
  <c r="L3" i="17"/>
  <c r="K3" i="17"/>
  <c r="J3" i="17"/>
  <c r="I3" i="17"/>
  <c r="H3" i="17"/>
  <c r="G3" i="17"/>
  <c r="F3" i="17"/>
  <c r="E3" i="17"/>
  <c r="D3" i="17"/>
  <c r="C3" i="17"/>
  <c r="B3" i="17"/>
  <c r="P7" i="18"/>
  <c r="O7" i="18"/>
  <c r="N7" i="18"/>
  <c r="M7" i="18"/>
  <c r="L7" i="18"/>
  <c r="K7" i="18"/>
  <c r="J7" i="18"/>
  <c r="I7" i="18"/>
  <c r="H7" i="18"/>
  <c r="G7" i="18"/>
  <c r="F7" i="18"/>
  <c r="E7" i="18"/>
  <c r="D7" i="18"/>
  <c r="C7" i="18"/>
  <c r="P6" i="18"/>
  <c r="O6" i="18"/>
  <c r="N6" i="18"/>
  <c r="M6" i="18"/>
  <c r="L6" i="18"/>
  <c r="K6" i="18"/>
  <c r="J6" i="18"/>
  <c r="I6" i="18"/>
  <c r="H6" i="18"/>
  <c r="G6" i="18"/>
  <c r="F6" i="18"/>
  <c r="E6" i="18"/>
  <c r="D6" i="18"/>
  <c r="C6" i="18"/>
  <c r="P5" i="18"/>
  <c r="O5" i="18"/>
  <c r="N5" i="18"/>
  <c r="M5" i="18"/>
  <c r="L5" i="18"/>
  <c r="K5" i="18"/>
  <c r="J5" i="18"/>
  <c r="I5" i="18"/>
  <c r="H5" i="18"/>
  <c r="G5" i="18"/>
  <c r="F5" i="18"/>
  <c r="E5" i="18"/>
  <c r="D5" i="18"/>
  <c r="C5" i="18"/>
  <c r="P4" i="18"/>
  <c r="O4" i="18"/>
  <c r="N4" i="18"/>
  <c r="M4" i="18"/>
  <c r="L4" i="18"/>
  <c r="K4" i="18"/>
  <c r="J4" i="18"/>
  <c r="I4" i="18"/>
  <c r="H4" i="18"/>
  <c r="G4" i="18"/>
  <c r="F4" i="18"/>
  <c r="E4" i="18"/>
  <c r="D4" i="18"/>
  <c r="C4" i="18"/>
  <c r="P3" i="18"/>
  <c r="O3" i="18"/>
  <c r="N3" i="18"/>
  <c r="M3" i="18"/>
  <c r="L3" i="18"/>
  <c r="K3" i="18"/>
  <c r="J3" i="18"/>
  <c r="I3" i="18"/>
  <c r="H3" i="18"/>
  <c r="G3" i="18"/>
  <c r="F3" i="18"/>
  <c r="E3" i="18"/>
  <c r="D3" i="18"/>
  <c r="C3" i="18"/>
  <c r="B7" i="18"/>
  <c r="B6" i="18"/>
  <c r="B5" i="18"/>
  <c r="B4" i="18"/>
  <c r="B3" i="18"/>
  <c r="U243" i="12"/>
  <c r="T243" i="12"/>
  <c r="S243" i="12"/>
  <c r="R243" i="12"/>
  <c r="Q243" i="12"/>
  <c r="P243" i="12"/>
  <c r="O243" i="12"/>
  <c r="N243" i="12"/>
  <c r="M243" i="12"/>
  <c r="L243" i="12"/>
  <c r="K243" i="12"/>
  <c r="J243" i="12"/>
  <c r="I243" i="12"/>
  <c r="H243" i="12"/>
  <c r="G243" i="12"/>
  <c r="F243" i="12"/>
  <c r="E243" i="12"/>
  <c r="D243" i="12"/>
  <c r="C243" i="12"/>
  <c r="B243" i="12"/>
  <c r="U242" i="12"/>
  <c r="T242" i="12"/>
  <c r="S242" i="12"/>
  <c r="S244" i="12" s="1"/>
  <c r="R242" i="12"/>
  <c r="R244" i="12" s="1"/>
  <c r="Q242" i="12"/>
  <c r="P242" i="12"/>
  <c r="O242" i="12"/>
  <c r="O244" i="12" s="1"/>
  <c r="N242" i="12"/>
  <c r="M242" i="12"/>
  <c r="M244" i="12" s="1"/>
  <c r="L242" i="12"/>
  <c r="K242" i="12"/>
  <c r="K244" i="12" s="1"/>
  <c r="J242" i="12"/>
  <c r="I242" i="12"/>
  <c r="I244" i="12" s="1"/>
  <c r="H242" i="12"/>
  <c r="G242" i="12"/>
  <c r="G244" i="12" s="1"/>
  <c r="F242" i="12"/>
  <c r="E242" i="12"/>
  <c r="D242" i="12"/>
  <c r="C242" i="12"/>
  <c r="C244" i="12" s="1"/>
  <c r="B242" i="12"/>
  <c r="U240" i="12"/>
  <c r="T240" i="12"/>
  <c r="S240" i="12"/>
  <c r="R240" i="12"/>
  <c r="Q240" i="12"/>
  <c r="P240" i="12"/>
  <c r="O240" i="12"/>
  <c r="N240" i="12"/>
  <c r="M240" i="12"/>
  <c r="L240" i="12"/>
  <c r="K240" i="12"/>
  <c r="J240" i="12"/>
  <c r="I240" i="12"/>
  <c r="H240" i="12"/>
  <c r="G240" i="12"/>
  <c r="F240" i="12"/>
  <c r="E240" i="12"/>
  <c r="D240" i="12"/>
  <c r="C240" i="12"/>
  <c r="B240" i="12"/>
  <c r="U239" i="12"/>
  <c r="T239" i="12"/>
  <c r="S239" i="12"/>
  <c r="R239" i="12"/>
  <c r="Q239" i="12"/>
  <c r="P239" i="12"/>
  <c r="O239" i="12"/>
  <c r="N239" i="12"/>
  <c r="M239" i="12"/>
  <c r="L239" i="12"/>
  <c r="K239" i="12"/>
  <c r="J239" i="12"/>
  <c r="I239" i="12"/>
  <c r="H239" i="12"/>
  <c r="G239" i="12"/>
  <c r="F239" i="12"/>
  <c r="E239" i="12"/>
  <c r="D239" i="12"/>
  <c r="C239" i="12"/>
  <c r="B239" i="12"/>
  <c r="U238" i="12"/>
  <c r="T238" i="12"/>
  <c r="S238" i="12"/>
  <c r="R238" i="12"/>
  <c r="Q238" i="12"/>
  <c r="P238" i="12"/>
  <c r="O238" i="12"/>
  <c r="N238" i="12"/>
  <c r="M238" i="12"/>
  <c r="L238" i="12"/>
  <c r="K238" i="12"/>
  <c r="J238" i="12"/>
  <c r="I238" i="12"/>
  <c r="H238" i="12"/>
  <c r="G238" i="12"/>
  <c r="F238" i="12"/>
  <c r="E238" i="12"/>
  <c r="D238" i="12"/>
  <c r="C238" i="12"/>
  <c r="B238" i="12"/>
  <c r="U237" i="12"/>
  <c r="T237" i="12"/>
  <c r="S237" i="12"/>
  <c r="R237" i="12"/>
  <c r="Q237" i="12"/>
  <c r="P237" i="12"/>
  <c r="O237" i="12"/>
  <c r="N237" i="12"/>
  <c r="M237" i="12"/>
  <c r="L237" i="12"/>
  <c r="K237" i="12"/>
  <c r="J237" i="12"/>
  <c r="I237" i="12"/>
  <c r="H237" i="12"/>
  <c r="G237" i="12"/>
  <c r="F237" i="12"/>
  <c r="E237" i="12"/>
  <c r="D237" i="12"/>
  <c r="C237" i="12"/>
  <c r="B237" i="12"/>
  <c r="U234" i="12"/>
  <c r="U11" i="12" s="1"/>
  <c r="T234" i="12"/>
  <c r="T11" i="12" s="1"/>
  <c r="S234" i="12"/>
  <c r="S11" i="12" s="1"/>
  <c r="R234" i="12"/>
  <c r="R11" i="12" s="1"/>
  <c r="Q234" i="12"/>
  <c r="Q11" i="12" s="1"/>
  <c r="P234" i="12"/>
  <c r="P11" i="12" s="1"/>
  <c r="O234" i="12"/>
  <c r="O11" i="12" s="1"/>
  <c r="N234" i="12"/>
  <c r="N11" i="12" s="1"/>
  <c r="M234" i="12"/>
  <c r="M11" i="12" s="1"/>
  <c r="L234" i="12"/>
  <c r="L11" i="12" s="1"/>
  <c r="K234" i="12"/>
  <c r="K11" i="12" s="1"/>
  <c r="J234" i="12"/>
  <c r="J11" i="12" s="1"/>
  <c r="I234" i="12"/>
  <c r="I11" i="12" s="1"/>
  <c r="H234" i="12"/>
  <c r="H11" i="12" s="1"/>
  <c r="G234" i="12"/>
  <c r="G11" i="12" s="1"/>
  <c r="F234" i="12"/>
  <c r="F11" i="12" s="1"/>
  <c r="E234" i="12"/>
  <c r="E11" i="12" s="1"/>
  <c r="D234" i="12"/>
  <c r="D11" i="12" s="1"/>
  <c r="C234" i="12"/>
  <c r="C11" i="12" s="1"/>
  <c r="B234" i="12"/>
  <c r="B11" i="12" s="1"/>
  <c r="U233" i="12"/>
  <c r="T233" i="12"/>
  <c r="S233" i="12"/>
  <c r="R233" i="12"/>
  <c r="Q233" i="12"/>
  <c r="P233" i="12"/>
  <c r="O233" i="12"/>
  <c r="N233" i="12"/>
  <c r="M233" i="12"/>
  <c r="L233" i="12"/>
  <c r="K233" i="12"/>
  <c r="J233" i="12"/>
  <c r="I233" i="12"/>
  <c r="H233" i="12"/>
  <c r="G233" i="12"/>
  <c r="F233" i="12"/>
  <c r="E233" i="12"/>
  <c r="D233" i="12"/>
  <c r="C233" i="12"/>
  <c r="B233" i="12"/>
  <c r="U232" i="12"/>
  <c r="T232" i="12"/>
  <c r="S232" i="12"/>
  <c r="R232" i="12"/>
  <c r="Q232" i="12"/>
  <c r="P232" i="12"/>
  <c r="O232" i="12"/>
  <c r="N232" i="12"/>
  <c r="M232" i="12"/>
  <c r="L232" i="12"/>
  <c r="K232" i="12"/>
  <c r="J232" i="12"/>
  <c r="I232" i="12"/>
  <c r="H232" i="12"/>
  <c r="G232" i="12"/>
  <c r="F232" i="12"/>
  <c r="E232" i="12"/>
  <c r="D232" i="12"/>
  <c r="C232" i="12"/>
  <c r="B232" i="12"/>
  <c r="U231" i="12"/>
  <c r="T231" i="12"/>
  <c r="S231" i="12"/>
  <c r="R231" i="12"/>
  <c r="Q231" i="12"/>
  <c r="P231" i="12"/>
  <c r="O231" i="12"/>
  <c r="N231" i="12"/>
  <c r="M231" i="12"/>
  <c r="L231" i="12"/>
  <c r="K231" i="12"/>
  <c r="J231" i="12"/>
  <c r="I231" i="12"/>
  <c r="H231" i="12"/>
  <c r="G231" i="12"/>
  <c r="F231" i="12"/>
  <c r="E231" i="12"/>
  <c r="D231" i="12"/>
  <c r="C231" i="12"/>
  <c r="B231" i="12"/>
  <c r="U230" i="12"/>
  <c r="T230" i="12"/>
  <c r="S230" i="12"/>
  <c r="R230" i="12"/>
  <c r="Q230" i="12"/>
  <c r="P230" i="12"/>
  <c r="O230" i="12"/>
  <c r="N230" i="12"/>
  <c r="M230" i="12"/>
  <c r="L230" i="12"/>
  <c r="K230" i="12"/>
  <c r="J230" i="12"/>
  <c r="I230" i="12"/>
  <c r="H230" i="12"/>
  <c r="G230" i="12"/>
  <c r="F230" i="12"/>
  <c r="E230" i="12"/>
  <c r="D230" i="12"/>
  <c r="C230" i="12"/>
  <c r="B230" i="12"/>
  <c r="U225" i="12"/>
  <c r="U226" i="12" s="1"/>
  <c r="U227" i="12" s="1"/>
  <c r="T225" i="12"/>
  <c r="T226" i="12" s="1"/>
  <c r="T227" i="12" s="1"/>
  <c r="S225" i="12"/>
  <c r="S226" i="12" s="1"/>
  <c r="S227" i="12" s="1"/>
  <c r="R225" i="12"/>
  <c r="R226" i="12" s="1"/>
  <c r="R227" i="12" s="1"/>
  <c r="Q225" i="12"/>
  <c r="Q226" i="12" s="1"/>
  <c r="Q227" i="12" s="1"/>
  <c r="P225" i="12"/>
  <c r="P10" i="12" s="1"/>
  <c r="O225" i="12"/>
  <c r="O226" i="12" s="1"/>
  <c r="O227" i="12" s="1"/>
  <c r="N225" i="12"/>
  <c r="N226" i="12" s="1"/>
  <c r="N227" i="12" s="1"/>
  <c r="M225" i="12"/>
  <c r="M226" i="12" s="1"/>
  <c r="M227" i="12" s="1"/>
  <c r="L225" i="12"/>
  <c r="L226" i="12" s="1"/>
  <c r="L227" i="12" s="1"/>
  <c r="K225" i="12"/>
  <c r="K226" i="12" s="1"/>
  <c r="K227" i="12" s="1"/>
  <c r="J225" i="12"/>
  <c r="J10" i="12" s="1"/>
  <c r="I225" i="12"/>
  <c r="I226" i="12" s="1"/>
  <c r="I227" i="12" s="1"/>
  <c r="H225" i="12"/>
  <c r="H226" i="12" s="1"/>
  <c r="H227" i="12" s="1"/>
  <c r="G225" i="12"/>
  <c r="G226" i="12" s="1"/>
  <c r="G227" i="12" s="1"/>
  <c r="F225" i="12"/>
  <c r="F226" i="12" s="1"/>
  <c r="F227" i="12" s="1"/>
  <c r="E225" i="12"/>
  <c r="E226" i="12" s="1"/>
  <c r="E227" i="12" s="1"/>
  <c r="D225" i="12"/>
  <c r="D10" i="12" s="1"/>
  <c r="C225" i="12"/>
  <c r="C226" i="12" s="1"/>
  <c r="C227" i="12" s="1"/>
  <c r="B225" i="12"/>
  <c r="B10" i="12" s="1"/>
  <c r="U9" i="12"/>
  <c r="T9" i="12"/>
  <c r="S9" i="12"/>
  <c r="Q9" i="12"/>
  <c r="P9" i="12"/>
  <c r="N9" i="12"/>
  <c r="M9" i="12"/>
  <c r="L9" i="12"/>
  <c r="J9" i="12"/>
  <c r="I9" i="12"/>
  <c r="H9" i="12"/>
  <c r="G9" i="12"/>
  <c r="F9" i="12"/>
  <c r="E9" i="12"/>
  <c r="D9" i="12"/>
  <c r="C9" i="12"/>
  <c r="B198" i="12"/>
  <c r="B197" i="12"/>
  <c r="B192" i="12"/>
  <c r="B191" i="12"/>
  <c r="B190" i="12"/>
  <c r="B188" i="12"/>
  <c r="B187" i="12"/>
  <c r="B186" i="12"/>
  <c r="B180" i="12"/>
  <c r="B175" i="12"/>
  <c r="B174" i="12"/>
  <c r="B173" i="12"/>
  <c r="B172" i="12"/>
  <c r="P243" i="9"/>
  <c r="O243" i="9"/>
  <c r="N243" i="9"/>
  <c r="M243" i="9"/>
  <c r="L243" i="9"/>
  <c r="K243" i="9"/>
  <c r="J243" i="9"/>
  <c r="I243" i="9"/>
  <c r="H243" i="9"/>
  <c r="G243" i="9"/>
  <c r="F243" i="9"/>
  <c r="E243" i="9"/>
  <c r="D243" i="9"/>
  <c r="C243" i="9"/>
  <c r="B243" i="9"/>
  <c r="P242" i="9"/>
  <c r="O242" i="9"/>
  <c r="O244" i="9" s="1"/>
  <c r="N242" i="9"/>
  <c r="M242" i="9"/>
  <c r="L242" i="9"/>
  <c r="K242" i="9"/>
  <c r="J242" i="9"/>
  <c r="I242" i="9"/>
  <c r="I244" i="9" s="1"/>
  <c r="H242" i="9"/>
  <c r="G242" i="9"/>
  <c r="F242" i="9"/>
  <c r="E242" i="9"/>
  <c r="E244" i="9" s="1"/>
  <c r="D242" i="9"/>
  <c r="C242" i="9"/>
  <c r="B242" i="9"/>
  <c r="B244" i="9" s="1"/>
  <c r="P240" i="9"/>
  <c r="O240" i="9"/>
  <c r="N240" i="9"/>
  <c r="M240" i="9"/>
  <c r="L240" i="9"/>
  <c r="K240" i="9"/>
  <c r="J240" i="9"/>
  <c r="I240" i="9"/>
  <c r="H240" i="9"/>
  <c r="G240" i="9"/>
  <c r="F240" i="9"/>
  <c r="E240" i="9"/>
  <c r="D240" i="9"/>
  <c r="C240" i="9"/>
  <c r="B240" i="9"/>
  <c r="P239" i="9"/>
  <c r="O239" i="9"/>
  <c r="N239" i="9"/>
  <c r="M239" i="9"/>
  <c r="L239" i="9"/>
  <c r="K239" i="9"/>
  <c r="J239" i="9"/>
  <c r="I239" i="9"/>
  <c r="H239" i="9"/>
  <c r="G239" i="9"/>
  <c r="F239" i="9"/>
  <c r="E239" i="9"/>
  <c r="D239" i="9"/>
  <c r="C239" i="9"/>
  <c r="B239" i="9"/>
  <c r="P238" i="9"/>
  <c r="O238" i="9"/>
  <c r="N238" i="9"/>
  <c r="M238" i="9"/>
  <c r="L238" i="9"/>
  <c r="K238" i="9"/>
  <c r="J238" i="9"/>
  <c r="I238" i="9"/>
  <c r="H238" i="9"/>
  <c r="G238" i="9"/>
  <c r="F238" i="9"/>
  <c r="E238" i="9"/>
  <c r="D238" i="9"/>
  <c r="C238" i="9"/>
  <c r="B238" i="9"/>
  <c r="P237" i="9"/>
  <c r="O237" i="9"/>
  <c r="N237" i="9"/>
  <c r="M237" i="9"/>
  <c r="L237" i="9"/>
  <c r="K237" i="9"/>
  <c r="J237" i="9"/>
  <c r="I237" i="9"/>
  <c r="H237" i="9"/>
  <c r="G237" i="9"/>
  <c r="F237" i="9"/>
  <c r="E237" i="9"/>
  <c r="D237" i="9"/>
  <c r="C237" i="9"/>
  <c r="B237" i="9"/>
  <c r="P234" i="9"/>
  <c r="P11" i="9" s="1"/>
  <c r="O234" i="9"/>
  <c r="O11" i="9" s="1"/>
  <c r="N234" i="9"/>
  <c r="N11" i="9" s="1"/>
  <c r="M234" i="9"/>
  <c r="M11" i="9" s="1"/>
  <c r="L234" i="9"/>
  <c r="L11" i="9" s="1"/>
  <c r="K234" i="9"/>
  <c r="K11" i="9" s="1"/>
  <c r="J234" i="9"/>
  <c r="J11" i="9" s="1"/>
  <c r="I234" i="9"/>
  <c r="I11" i="9" s="1"/>
  <c r="H234" i="9"/>
  <c r="H11" i="9" s="1"/>
  <c r="G234" i="9"/>
  <c r="G11" i="9" s="1"/>
  <c r="F234" i="9"/>
  <c r="F11" i="9" s="1"/>
  <c r="E234" i="9"/>
  <c r="E11" i="9" s="1"/>
  <c r="D234" i="9"/>
  <c r="D11" i="9" s="1"/>
  <c r="C234" i="9"/>
  <c r="C11" i="9" s="1"/>
  <c r="B234" i="9"/>
  <c r="B11" i="9" s="1"/>
  <c r="P233" i="9"/>
  <c r="O233" i="9"/>
  <c r="N233" i="9"/>
  <c r="M233" i="9"/>
  <c r="L233" i="9"/>
  <c r="K233" i="9"/>
  <c r="J233" i="9"/>
  <c r="I233" i="9"/>
  <c r="H233" i="9"/>
  <c r="G233" i="9"/>
  <c r="F233" i="9"/>
  <c r="E233" i="9"/>
  <c r="D233" i="9"/>
  <c r="C233" i="9"/>
  <c r="B233" i="9"/>
  <c r="P232" i="9"/>
  <c r="O232" i="9"/>
  <c r="N232" i="9"/>
  <c r="M232" i="9"/>
  <c r="L232" i="9"/>
  <c r="K232" i="9"/>
  <c r="J232" i="9"/>
  <c r="I232" i="9"/>
  <c r="H232" i="9"/>
  <c r="G232" i="9"/>
  <c r="F232" i="9"/>
  <c r="E232" i="9"/>
  <c r="D232" i="9"/>
  <c r="C232" i="9"/>
  <c r="B232" i="9"/>
  <c r="P231" i="9"/>
  <c r="O231" i="9"/>
  <c r="N231" i="9"/>
  <c r="M231" i="9"/>
  <c r="L231" i="9"/>
  <c r="K231" i="9"/>
  <c r="J231" i="9"/>
  <c r="I231" i="9"/>
  <c r="H231" i="9"/>
  <c r="G231" i="9"/>
  <c r="F231" i="9"/>
  <c r="E231" i="9"/>
  <c r="D231" i="9"/>
  <c r="C231" i="9"/>
  <c r="B231" i="9"/>
  <c r="P230" i="9"/>
  <c r="O230" i="9"/>
  <c r="N230" i="9"/>
  <c r="M230" i="9"/>
  <c r="L230" i="9"/>
  <c r="K230" i="9"/>
  <c r="J230" i="9"/>
  <c r="I230" i="9"/>
  <c r="H230" i="9"/>
  <c r="G230" i="9"/>
  <c r="F230" i="9"/>
  <c r="E230" i="9"/>
  <c r="D230" i="9"/>
  <c r="C230" i="9"/>
  <c r="B230" i="9"/>
  <c r="P225" i="9"/>
  <c r="P226" i="9" s="1"/>
  <c r="P227" i="9" s="1"/>
  <c r="O225" i="9"/>
  <c r="O226" i="9" s="1"/>
  <c r="O227" i="9" s="1"/>
  <c r="N225" i="9"/>
  <c r="N226" i="9" s="1"/>
  <c r="N227" i="9" s="1"/>
  <c r="M225" i="9"/>
  <c r="M226" i="9" s="1"/>
  <c r="M227" i="9" s="1"/>
  <c r="L225" i="9"/>
  <c r="L226" i="9" s="1"/>
  <c r="L227" i="9" s="1"/>
  <c r="K225" i="9"/>
  <c r="K226" i="9" s="1"/>
  <c r="K227" i="9" s="1"/>
  <c r="J225" i="9"/>
  <c r="J226" i="9" s="1"/>
  <c r="J227" i="9" s="1"/>
  <c r="I225" i="9"/>
  <c r="I226" i="9" s="1"/>
  <c r="I227" i="9" s="1"/>
  <c r="H225" i="9"/>
  <c r="H226" i="9" s="1"/>
  <c r="H227" i="9" s="1"/>
  <c r="G225" i="9"/>
  <c r="G226" i="9" s="1"/>
  <c r="G227" i="9" s="1"/>
  <c r="F225" i="9"/>
  <c r="F226" i="9" s="1"/>
  <c r="F227" i="9" s="1"/>
  <c r="E225" i="9"/>
  <c r="E226" i="9" s="1"/>
  <c r="E227" i="9" s="1"/>
  <c r="D225" i="9"/>
  <c r="D226" i="9" s="1"/>
  <c r="D227" i="9" s="1"/>
  <c r="C225" i="9"/>
  <c r="C226" i="9" s="1"/>
  <c r="C227" i="9" s="1"/>
  <c r="B225" i="9"/>
  <c r="B10" i="9" s="1"/>
  <c r="P9" i="9"/>
  <c r="O9" i="9"/>
  <c r="N9" i="9"/>
  <c r="M9" i="9"/>
  <c r="L9" i="9"/>
  <c r="K9" i="9"/>
  <c r="J9" i="9"/>
  <c r="I9" i="9"/>
  <c r="H9" i="9"/>
  <c r="G9" i="9"/>
  <c r="F9" i="9"/>
  <c r="E9" i="9"/>
  <c r="D9" i="9"/>
  <c r="C9" i="9"/>
  <c r="B9" i="9"/>
  <c r="B198" i="9"/>
  <c r="B197" i="9"/>
  <c r="B192" i="9"/>
  <c r="B191" i="9"/>
  <c r="B190" i="9"/>
  <c r="B188" i="9"/>
  <c r="B187" i="9"/>
  <c r="B186" i="9"/>
  <c r="B180" i="9"/>
  <c r="B331" i="9" s="1"/>
  <c r="B175" i="9"/>
  <c r="B174" i="9"/>
  <c r="B173" i="9"/>
  <c r="B172" i="9"/>
  <c r="O243" i="16"/>
  <c r="N243" i="16"/>
  <c r="M243" i="16"/>
  <c r="L243" i="16"/>
  <c r="K243" i="16"/>
  <c r="J243" i="16"/>
  <c r="I243" i="16"/>
  <c r="H243" i="16"/>
  <c r="G243" i="16"/>
  <c r="F243" i="16"/>
  <c r="E243" i="16"/>
  <c r="D243" i="16"/>
  <c r="C243" i="16"/>
  <c r="B243" i="16"/>
  <c r="O242" i="16"/>
  <c r="N242" i="16"/>
  <c r="M242" i="16"/>
  <c r="L242" i="16"/>
  <c r="K242" i="16"/>
  <c r="J242" i="16"/>
  <c r="I242" i="16"/>
  <c r="H242" i="16"/>
  <c r="G242" i="16"/>
  <c r="F242" i="16"/>
  <c r="E242" i="16"/>
  <c r="D242" i="16"/>
  <c r="C242" i="16"/>
  <c r="B242" i="16"/>
  <c r="O240" i="16"/>
  <c r="N240" i="16"/>
  <c r="M240" i="16"/>
  <c r="L240" i="16"/>
  <c r="K240" i="16"/>
  <c r="J240" i="16"/>
  <c r="I240" i="16"/>
  <c r="H240" i="16"/>
  <c r="G240" i="16"/>
  <c r="F240" i="16"/>
  <c r="E240" i="16"/>
  <c r="D240" i="16"/>
  <c r="C240" i="16"/>
  <c r="B240" i="16"/>
  <c r="O239" i="16"/>
  <c r="N239" i="16"/>
  <c r="M239" i="16"/>
  <c r="L239" i="16"/>
  <c r="K239" i="16"/>
  <c r="J239" i="16"/>
  <c r="I239" i="16"/>
  <c r="H239" i="16"/>
  <c r="G239" i="16"/>
  <c r="F239" i="16"/>
  <c r="E239" i="16"/>
  <c r="D239" i="16"/>
  <c r="C239" i="16"/>
  <c r="B239" i="16"/>
  <c r="O238" i="16"/>
  <c r="N238" i="16"/>
  <c r="M238" i="16"/>
  <c r="L238" i="16"/>
  <c r="K238" i="16"/>
  <c r="J238" i="16"/>
  <c r="I238" i="16"/>
  <c r="H238" i="16"/>
  <c r="G238" i="16"/>
  <c r="F238" i="16"/>
  <c r="E238" i="16"/>
  <c r="D238" i="16"/>
  <c r="C238" i="16"/>
  <c r="B238" i="16"/>
  <c r="O237" i="16"/>
  <c r="N237" i="16"/>
  <c r="M237" i="16"/>
  <c r="L237" i="16"/>
  <c r="K237" i="16"/>
  <c r="J237" i="16"/>
  <c r="I237" i="16"/>
  <c r="H237" i="16"/>
  <c r="G237" i="16"/>
  <c r="F237" i="16"/>
  <c r="E237" i="16"/>
  <c r="D237" i="16"/>
  <c r="C237" i="16"/>
  <c r="B237" i="16"/>
  <c r="O234" i="16"/>
  <c r="O11" i="16" s="1"/>
  <c r="N234" i="16"/>
  <c r="N11" i="16" s="1"/>
  <c r="M234" i="16"/>
  <c r="M11" i="16" s="1"/>
  <c r="L234" i="16"/>
  <c r="L11" i="16" s="1"/>
  <c r="K234" i="16"/>
  <c r="K11" i="16" s="1"/>
  <c r="J234" i="16"/>
  <c r="J11" i="16" s="1"/>
  <c r="I234" i="16"/>
  <c r="I11" i="16" s="1"/>
  <c r="H234" i="16"/>
  <c r="H11" i="16" s="1"/>
  <c r="G234" i="16"/>
  <c r="G11" i="16" s="1"/>
  <c r="F234" i="16"/>
  <c r="F11" i="16" s="1"/>
  <c r="E234" i="16"/>
  <c r="E11" i="16" s="1"/>
  <c r="D234" i="16"/>
  <c r="D11" i="16" s="1"/>
  <c r="C234" i="16"/>
  <c r="C11" i="16" s="1"/>
  <c r="B234" i="16"/>
  <c r="B11" i="16" s="1"/>
  <c r="O233" i="16"/>
  <c r="N233" i="16"/>
  <c r="M233" i="16"/>
  <c r="L233" i="16"/>
  <c r="K233" i="16"/>
  <c r="J233" i="16"/>
  <c r="I233" i="16"/>
  <c r="H233" i="16"/>
  <c r="G233" i="16"/>
  <c r="F233" i="16"/>
  <c r="E233" i="16"/>
  <c r="D233" i="16"/>
  <c r="C233" i="16"/>
  <c r="B233" i="16"/>
  <c r="O232" i="16"/>
  <c r="N232" i="16"/>
  <c r="M232" i="16"/>
  <c r="L232" i="16"/>
  <c r="K232" i="16"/>
  <c r="J232" i="16"/>
  <c r="I232" i="16"/>
  <c r="H232" i="16"/>
  <c r="G232" i="16"/>
  <c r="F232" i="16"/>
  <c r="E232" i="16"/>
  <c r="D232" i="16"/>
  <c r="C232" i="16"/>
  <c r="B232" i="16"/>
  <c r="O231" i="16"/>
  <c r="N231" i="16"/>
  <c r="M231" i="16"/>
  <c r="L231" i="16"/>
  <c r="K231" i="16"/>
  <c r="J231" i="16"/>
  <c r="I231" i="16"/>
  <c r="H231" i="16"/>
  <c r="G231" i="16"/>
  <c r="F231" i="16"/>
  <c r="E231" i="16"/>
  <c r="D231" i="16"/>
  <c r="C231" i="16"/>
  <c r="B231" i="16"/>
  <c r="O230" i="16"/>
  <c r="N230" i="16"/>
  <c r="M230" i="16"/>
  <c r="L230" i="16"/>
  <c r="K230" i="16"/>
  <c r="J230" i="16"/>
  <c r="I230" i="16"/>
  <c r="H230" i="16"/>
  <c r="G230" i="16"/>
  <c r="F230" i="16"/>
  <c r="E230" i="16"/>
  <c r="D230" i="16"/>
  <c r="C230" i="16"/>
  <c r="B230" i="16"/>
  <c r="O225" i="16"/>
  <c r="O226" i="16" s="1"/>
  <c r="O227" i="16" s="1"/>
  <c r="N225" i="16"/>
  <c r="N226" i="16" s="1"/>
  <c r="N227" i="16" s="1"/>
  <c r="M225" i="16"/>
  <c r="M226" i="16" s="1"/>
  <c r="M227" i="16" s="1"/>
  <c r="L225" i="16"/>
  <c r="L226" i="16" s="1"/>
  <c r="L227" i="16" s="1"/>
  <c r="K225" i="16"/>
  <c r="K226" i="16" s="1"/>
  <c r="K227" i="16" s="1"/>
  <c r="J225" i="16"/>
  <c r="J226" i="16" s="1"/>
  <c r="J227" i="16" s="1"/>
  <c r="I225" i="16"/>
  <c r="I226" i="16" s="1"/>
  <c r="I227" i="16" s="1"/>
  <c r="H225" i="16"/>
  <c r="H226" i="16" s="1"/>
  <c r="H227" i="16" s="1"/>
  <c r="G225" i="16"/>
  <c r="G226" i="16" s="1"/>
  <c r="G227" i="16" s="1"/>
  <c r="F225" i="16"/>
  <c r="F226" i="16" s="1"/>
  <c r="F227" i="16" s="1"/>
  <c r="E225" i="16"/>
  <c r="E226" i="16" s="1"/>
  <c r="E227" i="16" s="1"/>
  <c r="D225" i="16"/>
  <c r="D226" i="16" s="1"/>
  <c r="D227" i="16" s="1"/>
  <c r="C225" i="16"/>
  <c r="C226" i="16" s="1"/>
  <c r="C227" i="16" s="1"/>
  <c r="B225" i="16"/>
  <c r="B10" i="16" s="1"/>
  <c r="B198" i="16"/>
  <c r="B197" i="16"/>
  <c r="B192" i="16"/>
  <c r="B191" i="16"/>
  <c r="B190" i="16"/>
  <c r="B188" i="16"/>
  <c r="B187" i="16"/>
  <c r="B186" i="16"/>
  <c r="B180" i="16"/>
  <c r="B175" i="16"/>
  <c r="B174" i="16"/>
  <c r="B173" i="16"/>
  <c r="B172" i="16"/>
  <c r="O243" i="19"/>
  <c r="N243" i="19"/>
  <c r="M243" i="19"/>
  <c r="L243" i="19"/>
  <c r="K243" i="19"/>
  <c r="J243" i="19"/>
  <c r="I243" i="19"/>
  <c r="H243" i="19"/>
  <c r="G243" i="19"/>
  <c r="F243" i="19"/>
  <c r="E243" i="19"/>
  <c r="D243" i="19"/>
  <c r="C243" i="19"/>
  <c r="B243" i="19"/>
  <c r="N242" i="19"/>
  <c r="M242" i="19"/>
  <c r="L242" i="19"/>
  <c r="K242" i="19"/>
  <c r="J242" i="19"/>
  <c r="I242" i="19"/>
  <c r="H242" i="19"/>
  <c r="G242" i="19"/>
  <c r="F242" i="19"/>
  <c r="E242" i="19"/>
  <c r="D242" i="19"/>
  <c r="C242" i="19"/>
  <c r="B242" i="19"/>
  <c r="O240" i="19"/>
  <c r="N240" i="19"/>
  <c r="M240" i="19"/>
  <c r="L240" i="19"/>
  <c r="K240" i="19"/>
  <c r="J240" i="19"/>
  <c r="I240" i="19"/>
  <c r="H240" i="19"/>
  <c r="G240" i="19"/>
  <c r="F240" i="19"/>
  <c r="E240" i="19"/>
  <c r="D240" i="19"/>
  <c r="C240" i="19"/>
  <c r="B240" i="19"/>
  <c r="O239" i="19"/>
  <c r="N239" i="19"/>
  <c r="M239" i="19"/>
  <c r="L239" i="19"/>
  <c r="K239" i="19"/>
  <c r="J239" i="19"/>
  <c r="I239" i="19"/>
  <c r="H239" i="19"/>
  <c r="G239" i="19"/>
  <c r="F239" i="19"/>
  <c r="E239" i="19"/>
  <c r="D239" i="19"/>
  <c r="C239" i="19"/>
  <c r="B239" i="19"/>
  <c r="O238" i="19"/>
  <c r="N238" i="19"/>
  <c r="M238" i="19"/>
  <c r="L238" i="19"/>
  <c r="K238" i="19"/>
  <c r="J238" i="19"/>
  <c r="I238" i="19"/>
  <c r="H238" i="19"/>
  <c r="G238" i="19"/>
  <c r="F238" i="19"/>
  <c r="E238" i="19"/>
  <c r="D238" i="19"/>
  <c r="C238" i="19"/>
  <c r="B238" i="19"/>
  <c r="O237" i="19"/>
  <c r="N237" i="19"/>
  <c r="M237" i="19"/>
  <c r="L237" i="19"/>
  <c r="K237" i="19"/>
  <c r="J237" i="19"/>
  <c r="I237" i="19"/>
  <c r="H237" i="19"/>
  <c r="G237" i="19"/>
  <c r="F237" i="19"/>
  <c r="E237" i="19"/>
  <c r="D237" i="19"/>
  <c r="C237" i="19"/>
  <c r="B237" i="19"/>
  <c r="O234" i="19"/>
  <c r="O11" i="19" s="1"/>
  <c r="N234" i="19"/>
  <c r="N11" i="19" s="1"/>
  <c r="M234" i="19"/>
  <c r="M11" i="19" s="1"/>
  <c r="L234" i="19"/>
  <c r="L11" i="19" s="1"/>
  <c r="K234" i="19"/>
  <c r="K11" i="19" s="1"/>
  <c r="J234" i="19"/>
  <c r="J11" i="19" s="1"/>
  <c r="I234" i="19"/>
  <c r="I11" i="19" s="1"/>
  <c r="H234" i="19"/>
  <c r="H11" i="19" s="1"/>
  <c r="G234" i="19"/>
  <c r="G11" i="19" s="1"/>
  <c r="F234" i="19"/>
  <c r="F11" i="19" s="1"/>
  <c r="E234" i="19"/>
  <c r="E11" i="19" s="1"/>
  <c r="D234" i="19"/>
  <c r="D11" i="19" s="1"/>
  <c r="C234" i="19"/>
  <c r="C11" i="19" s="1"/>
  <c r="B234" i="19"/>
  <c r="B11" i="19" s="1"/>
  <c r="O233" i="19"/>
  <c r="N233" i="19"/>
  <c r="M233" i="19"/>
  <c r="L233" i="19"/>
  <c r="K233" i="19"/>
  <c r="J233" i="19"/>
  <c r="I233" i="19"/>
  <c r="H233" i="19"/>
  <c r="G233" i="19"/>
  <c r="F233" i="19"/>
  <c r="E233" i="19"/>
  <c r="D233" i="19"/>
  <c r="C233" i="19"/>
  <c r="B233" i="19"/>
  <c r="O232" i="19"/>
  <c r="N232" i="19"/>
  <c r="M232" i="19"/>
  <c r="L232" i="19"/>
  <c r="K232" i="19"/>
  <c r="J232" i="19"/>
  <c r="I232" i="19"/>
  <c r="H232" i="19"/>
  <c r="G232" i="19"/>
  <c r="F232" i="19"/>
  <c r="E232" i="19"/>
  <c r="D232" i="19"/>
  <c r="C232" i="19"/>
  <c r="B232" i="19"/>
  <c r="O231" i="19"/>
  <c r="N231" i="19"/>
  <c r="M231" i="19"/>
  <c r="L231" i="19"/>
  <c r="K231" i="19"/>
  <c r="J231" i="19"/>
  <c r="I231" i="19"/>
  <c r="H231" i="19"/>
  <c r="G231" i="19"/>
  <c r="F231" i="19"/>
  <c r="E231" i="19"/>
  <c r="D231" i="19"/>
  <c r="C231" i="19"/>
  <c r="B231" i="19"/>
  <c r="O230" i="19"/>
  <c r="N230" i="19"/>
  <c r="M230" i="19"/>
  <c r="L230" i="19"/>
  <c r="K230" i="19"/>
  <c r="J230" i="19"/>
  <c r="I230" i="19"/>
  <c r="H230" i="19"/>
  <c r="G230" i="19"/>
  <c r="F230" i="19"/>
  <c r="E230" i="19"/>
  <c r="D230" i="19"/>
  <c r="C230" i="19"/>
  <c r="B230" i="19"/>
  <c r="O225" i="19"/>
  <c r="O226" i="19" s="1"/>
  <c r="O227" i="19" s="1"/>
  <c r="N225" i="19"/>
  <c r="N226" i="19" s="1"/>
  <c r="N227" i="19" s="1"/>
  <c r="M225" i="19"/>
  <c r="L225" i="19"/>
  <c r="L226" i="19" s="1"/>
  <c r="L227" i="19" s="1"/>
  <c r="K225" i="19"/>
  <c r="J225" i="19"/>
  <c r="I225" i="19"/>
  <c r="I226" i="19" s="1"/>
  <c r="I227" i="19" s="1"/>
  <c r="H225" i="19"/>
  <c r="G225" i="19"/>
  <c r="F225" i="19"/>
  <c r="F226" i="19" s="1"/>
  <c r="F227" i="19" s="1"/>
  <c r="E225" i="19"/>
  <c r="D225" i="19"/>
  <c r="C225" i="19"/>
  <c r="C226" i="19" s="1"/>
  <c r="C227" i="19" s="1"/>
  <c r="B225" i="19"/>
  <c r="B10" i="19" s="1"/>
  <c r="O9" i="19"/>
  <c r="N9" i="19"/>
  <c r="M9" i="19"/>
  <c r="L9" i="19"/>
  <c r="K9" i="19"/>
  <c r="J9" i="19"/>
  <c r="I9" i="19"/>
  <c r="H9" i="19"/>
  <c r="G9" i="19"/>
  <c r="F9" i="19"/>
  <c r="D9" i="19"/>
  <c r="C9" i="19"/>
  <c r="B9" i="19"/>
  <c r="B198" i="19"/>
  <c r="B197" i="19"/>
  <c r="B192" i="19"/>
  <c r="B191" i="19"/>
  <c r="B190" i="19"/>
  <c r="B188" i="19"/>
  <c r="B187" i="19"/>
  <c r="B186" i="19"/>
  <c r="B180" i="19"/>
  <c r="B175" i="19"/>
  <c r="B174" i="19"/>
  <c r="B173" i="19"/>
  <c r="B172" i="19"/>
  <c r="P243" i="18"/>
  <c r="O243" i="18"/>
  <c r="N243" i="18"/>
  <c r="M243" i="18"/>
  <c r="L243" i="18"/>
  <c r="K243" i="18"/>
  <c r="J243" i="18"/>
  <c r="I243" i="18"/>
  <c r="H243" i="18"/>
  <c r="G243" i="18"/>
  <c r="F243" i="18"/>
  <c r="E243" i="18"/>
  <c r="D243" i="18"/>
  <c r="C243" i="18"/>
  <c r="B243" i="18"/>
  <c r="P242" i="18"/>
  <c r="O242" i="18"/>
  <c r="N242" i="18"/>
  <c r="M242" i="18"/>
  <c r="L242" i="18"/>
  <c r="K242" i="18"/>
  <c r="J242" i="18"/>
  <c r="I242" i="18"/>
  <c r="H242" i="18"/>
  <c r="G242" i="18"/>
  <c r="F242" i="18"/>
  <c r="E242" i="18"/>
  <c r="D242" i="18"/>
  <c r="C242" i="18"/>
  <c r="B242" i="18"/>
  <c r="P240" i="18"/>
  <c r="O240" i="18"/>
  <c r="N240" i="18"/>
  <c r="M240" i="18"/>
  <c r="L240" i="18"/>
  <c r="K240" i="18"/>
  <c r="J240" i="18"/>
  <c r="I240" i="18"/>
  <c r="H240" i="18"/>
  <c r="G240" i="18"/>
  <c r="F240" i="18"/>
  <c r="E240" i="18"/>
  <c r="D240" i="18"/>
  <c r="C240" i="18"/>
  <c r="B240" i="18"/>
  <c r="P239" i="18"/>
  <c r="O239" i="18"/>
  <c r="N239" i="18"/>
  <c r="M239" i="18"/>
  <c r="L239" i="18"/>
  <c r="K239" i="18"/>
  <c r="J239" i="18"/>
  <c r="I239" i="18"/>
  <c r="H239" i="18"/>
  <c r="G239" i="18"/>
  <c r="F239" i="18"/>
  <c r="E239" i="18"/>
  <c r="D239" i="18"/>
  <c r="C239" i="18"/>
  <c r="B239" i="18"/>
  <c r="P238" i="18"/>
  <c r="O238" i="18"/>
  <c r="N238" i="18"/>
  <c r="M238" i="18"/>
  <c r="L238" i="18"/>
  <c r="K238" i="18"/>
  <c r="J238" i="18"/>
  <c r="I238" i="18"/>
  <c r="H238" i="18"/>
  <c r="G238" i="18"/>
  <c r="F238" i="18"/>
  <c r="E238" i="18"/>
  <c r="D238" i="18"/>
  <c r="C238" i="18"/>
  <c r="B238" i="18"/>
  <c r="P237" i="18"/>
  <c r="O237" i="18"/>
  <c r="N237" i="18"/>
  <c r="M237" i="18"/>
  <c r="L237" i="18"/>
  <c r="K237" i="18"/>
  <c r="J237" i="18"/>
  <c r="I237" i="18"/>
  <c r="H237" i="18"/>
  <c r="G237" i="18"/>
  <c r="F237" i="18"/>
  <c r="E237" i="18"/>
  <c r="D237" i="18"/>
  <c r="C237" i="18"/>
  <c r="B237" i="18"/>
  <c r="P234" i="18"/>
  <c r="P11" i="18" s="1"/>
  <c r="O234" i="18"/>
  <c r="O11" i="18" s="1"/>
  <c r="N234" i="18"/>
  <c r="N11" i="18" s="1"/>
  <c r="M234" i="18"/>
  <c r="M11" i="18" s="1"/>
  <c r="L234" i="18"/>
  <c r="L11" i="18" s="1"/>
  <c r="K234" i="18"/>
  <c r="K11" i="18" s="1"/>
  <c r="J234" i="18"/>
  <c r="J11" i="18" s="1"/>
  <c r="I234" i="18"/>
  <c r="I11" i="18" s="1"/>
  <c r="H234" i="18"/>
  <c r="H11" i="18" s="1"/>
  <c r="G234" i="18"/>
  <c r="G11" i="18" s="1"/>
  <c r="F234" i="18"/>
  <c r="F11" i="18" s="1"/>
  <c r="E234" i="18"/>
  <c r="E11" i="18" s="1"/>
  <c r="D234" i="18"/>
  <c r="D11" i="18" s="1"/>
  <c r="C11" i="18"/>
  <c r="B234" i="18"/>
  <c r="B11" i="18" s="1"/>
  <c r="P233" i="18"/>
  <c r="O233" i="18"/>
  <c r="N233" i="18"/>
  <c r="M233" i="18"/>
  <c r="L233" i="18"/>
  <c r="K233" i="18"/>
  <c r="J233" i="18"/>
  <c r="I233" i="18"/>
  <c r="H233" i="18"/>
  <c r="G233" i="18"/>
  <c r="F233" i="18"/>
  <c r="E233" i="18"/>
  <c r="D233" i="18"/>
  <c r="C233" i="18"/>
  <c r="B233" i="18"/>
  <c r="P232" i="18"/>
  <c r="O232" i="18"/>
  <c r="N232" i="18"/>
  <c r="M232" i="18"/>
  <c r="L232" i="18"/>
  <c r="K232" i="18"/>
  <c r="J232" i="18"/>
  <c r="I232" i="18"/>
  <c r="H232" i="18"/>
  <c r="G232" i="18"/>
  <c r="F232" i="18"/>
  <c r="E232" i="18"/>
  <c r="D232" i="18"/>
  <c r="C232" i="18"/>
  <c r="B232" i="18"/>
  <c r="P231" i="18"/>
  <c r="O231" i="18"/>
  <c r="N231" i="18"/>
  <c r="M231" i="18"/>
  <c r="L231" i="18"/>
  <c r="K231" i="18"/>
  <c r="J231" i="18"/>
  <c r="I231" i="18"/>
  <c r="H231" i="18"/>
  <c r="G231" i="18"/>
  <c r="F231" i="18"/>
  <c r="E231" i="18"/>
  <c r="D231" i="18"/>
  <c r="C231" i="18"/>
  <c r="B231" i="18"/>
  <c r="P230" i="18"/>
  <c r="O230" i="18"/>
  <c r="N230" i="18"/>
  <c r="M230" i="18"/>
  <c r="L230" i="18"/>
  <c r="K230" i="18"/>
  <c r="J230" i="18"/>
  <c r="I230" i="18"/>
  <c r="H230" i="18"/>
  <c r="G230" i="18"/>
  <c r="F230" i="18"/>
  <c r="E230" i="18"/>
  <c r="D230" i="18"/>
  <c r="C230" i="18"/>
  <c r="P225" i="18"/>
  <c r="P226" i="18" s="1"/>
  <c r="P227" i="18" s="1"/>
  <c r="O225" i="18"/>
  <c r="O226" i="18" s="1"/>
  <c r="O227" i="18" s="1"/>
  <c r="N225" i="18"/>
  <c r="N226" i="18" s="1"/>
  <c r="N227" i="18" s="1"/>
  <c r="M225" i="18"/>
  <c r="M226" i="18" s="1"/>
  <c r="M227" i="18" s="1"/>
  <c r="L225" i="18"/>
  <c r="L226" i="18" s="1"/>
  <c r="L227" i="18" s="1"/>
  <c r="K225" i="18"/>
  <c r="K226" i="18" s="1"/>
  <c r="K227" i="18" s="1"/>
  <c r="J225" i="18"/>
  <c r="J226" i="18" s="1"/>
  <c r="J227" i="18" s="1"/>
  <c r="I225" i="18"/>
  <c r="I226" i="18" s="1"/>
  <c r="I227" i="18" s="1"/>
  <c r="H225" i="18"/>
  <c r="H226" i="18" s="1"/>
  <c r="H227" i="18" s="1"/>
  <c r="G225" i="18"/>
  <c r="G226" i="18" s="1"/>
  <c r="G227" i="18" s="1"/>
  <c r="F225" i="18"/>
  <c r="F226" i="18" s="1"/>
  <c r="F227" i="18" s="1"/>
  <c r="E225" i="18"/>
  <c r="E226" i="18" s="1"/>
  <c r="E227" i="18" s="1"/>
  <c r="D225" i="18"/>
  <c r="D10" i="18" s="1"/>
  <c r="B225" i="18"/>
  <c r="B10" i="18" s="1"/>
  <c r="P9" i="18"/>
  <c r="O9" i="18"/>
  <c r="N9" i="18"/>
  <c r="M9" i="18"/>
  <c r="L9" i="18"/>
  <c r="K9" i="18"/>
  <c r="J9" i="18"/>
  <c r="I9" i="18"/>
  <c r="H9" i="18"/>
  <c r="G9" i="18"/>
  <c r="F9" i="18"/>
  <c r="E9" i="18"/>
  <c r="C9" i="18"/>
  <c r="B9" i="18"/>
  <c r="B198" i="18"/>
  <c r="B197" i="18"/>
  <c r="B192" i="18"/>
  <c r="B191" i="18"/>
  <c r="B190" i="18"/>
  <c r="B188" i="18"/>
  <c r="B187" i="18"/>
  <c r="B186" i="18"/>
  <c r="B180" i="18"/>
  <c r="B175" i="18"/>
  <c r="B174" i="18"/>
  <c r="B173" i="18"/>
  <c r="B172" i="18"/>
  <c r="S234" i="17"/>
  <c r="S11" i="17" s="1"/>
  <c r="R234" i="17"/>
  <c r="R11" i="17" s="1"/>
  <c r="Q234" i="17"/>
  <c r="Q11" i="17" s="1"/>
  <c r="P234" i="17"/>
  <c r="P11" i="17" s="1"/>
  <c r="O234" i="17"/>
  <c r="O11" i="17" s="1"/>
  <c r="N234" i="17"/>
  <c r="N11" i="17" s="1"/>
  <c r="M234" i="17"/>
  <c r="M11" i="17" s="1"/>
  <c r="L234" i="17"/>
  <c r="L11" i="17" s="1"/>
  <c r="K234" i="17"/>
  <c r="K11" i="17" s="1"/>
  <c r="J234" i="17"/>
  <c r="J11" i="17" s="1"/>
  <c r="I234" i="17"/>
  <c r="I11" i="17" s="1"/>
  <c r="H234" i="17"/>
  <c r="H11" i="17" s="1"/>
  <c r="G234" i="17"/>
  <c r="G11" i="17" s="1"/>
  <c r="F234" i="17"/>
  <c r="F11" i="17" s="1"/>
  <c r="E234" i="17"/>
  <c r="E11" i="17" s="1"/>
  <c r="D234" i="17"/>
  <c r="D11" i="17" s="1"/>
  <c r="C234" i="17"/>
  <c r="C11" i="17" s="1"/>
  <c r="B234" i="17"/>
  <c r="B11" i="17" s="1"/>
  <c r="O231" i="17"/>
  <c r="B232" i="17"/>
  <c r="B225" i="17"/>
  <c r="B10" i="17" s="1"/>
  <c r="S243" i="17"/>
  <c r="R243" i="17"/>
  <c r="Q243" i="17"/>
  <c r="P243" i="17"/>
  <c r="S242" i="17"/>
  <c r="R242" i="17"/>
  <c r="Q242" i="17"/>
  <c r="P242" i="17"/>
  <c r="S240" i="17"/>
  <c r="R240" i="17"/>
  <c r="Q240" i="17"/>
  <c r="P240" i="17"/>
  <c r="S239" i="17"/>
  <c r="R239" i="17"/>
  <c r="Q239" i="17"/>
  <c r="P239" i="17"/>
  <c r="S238" i="17"/>
  <c r="R238" i="17"/>
  <c r="Q238" i="17"/>
  <c r="P238" i="17"/>
  <c r="S237" i="17"/>
  <c r="R237" i="17"/>
  <c r="Q237" i="17"/>
  <c r="P237" i="17"/>
  <c r="S233" i="17"/>
  <c r="R233" i="17"/>
  <c r="Q233" i="17"/>
  <c r="P233" i="17"/>
  <c r="S232" i="17"/>
  <c r="R232" i="17"/>
  <c r="Q232" i="17"/>
  <c r="P232" i="17"/>
  <c r="S231" i="17"/>
  <c r="R231" i="17"/>
  <c r="Q231" i="17"/>
  <c r="P231" i="17"/>
  <c r="S230" i="17"/>
  <c r="R230" i="17"/>
  <c r="Q230" i="17"/>
  <c r="P230" i="17"/>
  <c r="S225" i="17"/>
  <c r="S10" i="17" s="1"/>
  <c r="R225" i="17"/>
  <c r="R10" i="17" s="1"/>
  <c r="Q225" i="17"/>
  <c r="Q226" i="17" s="1"/>
  <c r="Q227" i="17" s="1"/>
  <c r="P225" i="17"/>
  <c r="P10" i="17" s="1"/>
  <c r="S9" i="17"/>
  <c r="R9" i="17"/>
  <c r="Q9" i="17"/>
  <c r="P9" i="17"/>
  <c r="O243" i="17"/>
  <c r="N243" i="17"/>
  <c r="M243" i="17"/>
  <c r="L243" i="17"/>
  <c r="K243" i="17"/>
  <c r="J243" i="17"/>
  <c r="I243" i="17"/>
  <c r="H243" i="17"/>
  <c r="G243" i="17"/>
  <c r="F243" i="17"/>
  <c r="E243" i="17"/>
  <c r="D243" i="17"/>
  <c r="C243" i="17"/>
  <c r="B243" i="17"/>
  <c r="O242" i="17"/>
  <c r="N242" i="17"/>
  <c r="M242" i="17"/>
  <c r="L242" i="17"/>
  <c r="K242" i="17"/>
  <c r="J242" i="17"/>
  <c r="I242" i="17"/>
  <c r="H242" i="17"/>
  <c r="G242" i="17"/>
  <c r="F242" i="17"/>
  <c r="E242" i="17"/>
  <c r="D242" i="17"/>
  <c r="C242" i="17"/>
  <c r="B242" i="17"/>
  <c r="O240" i="17"/>
  <c r="N240" i="17"/>
  <c r="M240" i="17"/>
  <c r="L240" i="17"/>
  <c r="K240" i="17"/>
  <c r="J240" i="17"/>
  <c r="I240" i="17"/>
  <c r="H240" i="17"/>
  <c r="G240" i="17"/>
  <c r="F240" i="17"/>
  <c r="E240" i="17"/>
  <c r="D240" i="17"/>
  <c r="C240" i="17"/>
  <c r="B240" i="17"/>
  <c r="O239" i="17"/>
  <c r="N239" i="17"/>
  <c r="M239" i="17"/>
  <c r="L239" i="17"/>
  <c r="K239" i="17"/>
  <c r="J239" i="17"/>
  <c r="I239" i="17"/>
  <c r="H239" i="17"/>
  <c r="G239" i="17"/>
  <c r="F239" i="17"/>
  <c r="E239" i="17"/>
  <c r="D239" i="17"/>
  <c r="C239" i="17"/>
  <c r="B239" i="17"/>
  <c r="O238" i="17"/>
  <c r="N238" i="17"/>
  <c r="M238" i="17"/>
  <c r="L238" i="17"/>
  <c r="K238" i="17"/>
  <c r="J238" i="17"/>
  <c r="I238" i="17"/>
  <c r="H238" i="17"/>
  <c r="G238" i="17"/>
  <c r="F238" i="17"/>
  <c r="E238" i="17"/>
  <c r="D238" i="17"/>
  <c r="C238" i="17"/>
  <c r="B238" i="17"/>
  <c r="O237" i="17"/>
  <c r="N237" i="17"/>
  <c r="M237" i="17"/>
  <c r="L237" i="17"/>
  <c r="K237" i="17"/>
  <c r="J237" i="17"/>
  <c r="I237" i="17"/>
  <c r="H237" i="17"/>
  <c r="G237" i="17"/>
  <c r="F237" i="17"/>
  <c r="E237" i="17"/>
  <c r="D237" i="17"/>
  <c r="C237" i="17"/>
  <c r="B237" i="17"/>
  <c r="O233" i="17"/>
  <c r="N233" i="17"/>
  <c r="M233" i="17"/>
  <c r="L233" i="17"/>
  <c r="K233" i="17"/>
  <c r="J233" i="17"/>
  <c r="I233" i="17"/>
  <c r="H233" i="17"/>
  <c r="G233" i="17"/>
  <c r="F233" i="17"/>
  <c r="E233" i="17"/>
  <c r="D233" i="17"/>
  <c r="C233" i="17"/>
  <c r="B233" i="17"/>
  <c r="O232" i="17"/>
  <c r="N232" i="17"/>
  <c r="M232" i="17"/>
  <c r="L232" i="17"/>
  <c r="K232" i="17"/>
  <c r="J232" i="17"/>
  <c r="I232" i="17"/>
  <c r="H232" i="17"/>
  <c r="G232" i="17"/>
  <c r="F232" i="17"/>
  <c r="E232" i="17"/>
  <c r="D232" i="17"/>
  <c r="C232" i="17"/>
  <c r="N231" i="17"/>
  <c r="M231" i="17"/>
  <c r="L231" i="17"/>
  <c r="K231" i="17"/>
  <c r="J231" i="17"/>
  <c r="I231" i="17"/>
  <c r="H231" i="17"/>
  <c r="G231" i="17"/>
  <c r="F231" i="17"/>
  <c r="E231" i="17"/>
  <c r="D231" i="17"/>
  <c r="C231" i="17"/>
  <c r="B231" i="17"/>
  <c r="O230" i="17"/>
  <c r="N230" i="17"/>
  <c r="M230" i="17"/>
  <c r="L230" i="17"/>
  <c r="K230" i="17"/>
  <c r="J230" i="17"/>
  <c r="I230" i="17"/>
  <c r="H230" i="17"/>
  <c r="G230" i="17"/>
  <c r="F230" i="17"/>
  <c r="E230" i="17"/>
  <c r="D230" i="17"/>
  <c r="C230" i="17"/>
  <c r="B230" i="17"/>
  <c r="O225" i="17"/>
  <c r="O10" i="17" s="1"/>
  <c r="N225" i="17"/>
  <c r="N226" i="17" s="1"/>
  <c r="M225" i="17"/>
  <c r="M10" i="17" s="1"/>
  <c r="L225" i="17"/>
  <c r="L226" i="17" s="1"/>
  <c r="L227" i="17" s="1"/>
  <c r="K225" i="17"/>
  <c r="K226" i="17" s="1"/>
  <c r="J225" i="17"/>
  <c r="J226" i="17" s="1"/>
  <c r="I225" i="17"/>
  <c r="I226" i="17" s="1"/>
  <c r="H225" i="17"/>
  <c r="H226" i="17" s="1"/>
  <c r="G225" i="17"/>
  <c r="G226" i="17" s="1"/>
  <c r="G227" i="17" s="1"/>
  <c r="F225" i="17"/>
  <c r="F226" i="17" s="1"/>
  <c r="F227" i="17" s="1"/>
  <c r="E225" i="17"/>
  <c r="E226" i="17" s="1"/>
  <c r="D225" i="17"/>
  <c r="D226" i="17" s="1"/>
  <c r="C225" i="17"/>
  <c r="C226" i="17" s="1"/>
  <c r="O9" i="17"/>
  <c r="N9" i="17"/>
  <c r="M9" i="17"/>
  <c r="L9" i="17"/>
  <c r="K9" i="17"/>
  <c r="J9" i="17"/>
  <c r="I9" i="17"/>
  <c r="H9" i="17"/>
  <c r="G9" i="17"/>
  <c r="F9" i="17"/>
  <c r="E9" i="17"/>
  <c r="D9" i="17"/>
  <c r="C9" i="17"/>
  <c r="B9" i="17"/>
  <c r="B198" i="17"/>
  <c r="B197" i="17"/>
  <c r="B192" i="17"/>
  <c r="B191" i="17"/>
  <c r="B190" i="17"/>
  <c r="B188" i="17"/>
  <c r="B187" i="17"/>
  <c r="B186" i="17"/>
  <c r="B180" i="17"/>
  <c r="B175" i="17"/>
  <c r="B174" i="17"/>
  <c r="B173" i="17"/>
  <c r="B172" i="17"/>
  <c r="B197" i="7"/>
  <c r="B173" i="7"/>
  <c r="B211" i="7"/>
  <c r="B210" i="7"/>
  <c r="B209" i="7"/>
  <c r="B208" i="7"/>
  <c r="B205" i="7"/>
  <c r="B204" i="7"/>
  <c r="B203" i="7"/>
  <c r="B202" i="7"/>
  <c r="B195" i="7"/>
  <c r="B174" i="7"/>
  <c r="B168" i="7"/>
  <c r="B167" i="7"/>
  <c r="B166" i="7"/>
  <c r="B164" i="7"/>
  <c r="B163" i="7"/>
  <c r="B162" i="7"/>
  <c r="B160" i="7"/>
  <c r="B155" i="7"/>
  <c r="B154" i="7"/>
  <c r="B153" i="7"/>
  <c r="B152" i="7"/>
  <c r="B149" i="7"/>
  <c r="B144" i="7" s="1"/>
  <c r="U169" i="12"/>
  <c r="U164" i="12" s="1"/>
  <c r="T169" i="12"/>
  <c r="T164" i="12" s="1"/>
  <c r="S169" i="12"/>
  <c r="S164" i="12" s="1"/>
  <c r="R169" i="12"/>
  <c r="R164" i="12" s="1"/>
  <c r="Q169" i="12"/>
  <c r="Q164" i="12" s="1"/>
  <c r="P169" i="12"/>
  <c r="P164" i="12" s="1"/>
  <c r="O169" i="12"/>
  <c r="O164" i="12" s="1"/>
  <c r="N169" i="12"/>
  <c r="N164" i="12" s="1"/>
  <c r="M169" i="12"/>
  <c r="M164" i="12" s="1"/>
  <c r="L169" i="12"/>
  <c r="L164" i="12" s="1"/>
  <c r="K169" i="12"/>
  <c r="K164" i="12" s="1"/>
  <c r="J169" i="12"/>
  <c r="J164" i="12" s="1"/>
  <c r="I169" i="12"/>
  <c r="I164" i="12" s="1"/>
  <c r="H169" i="12"/>
  <c r="H164" i="12" s="1"/>
  <c r="G169" i="12"/>
  <c r="G164" i="12" s="1"/>
  <c r="F169" i="12"/>
  <c r="F164" i="12" s="1"/>
  <c r="E169" i="12"/>
  <c r="E164" i="12" s="1"/>
  <c r="D169" i="12"/>
  <c r="D164" i="12" s="1"/>
  <c r="C169" i="12"/>
  <c r="C164" i="12" s="1"/>
  <c r="B169" i="12"/>
  <c r="B164" i="12" s="1"/>
  <c r="P169" i="9"/>
  <c r="P164" i="9" s="1"/>
  <c r="O169" i="9"/>
  <c r="O164" i="9" s="1"/>
  <c r="N169" i="9"/>
  <c r="N164" i="9" s="1"/>
  <c r="M169" i="9"/>
  <c r="M164" i="9" s="1"/>
  <c r="L169" i="9"/>
  <c r="L164" i="9" s="1"/>
  <c r="K169" i="9"/>
  <c r="K164" i="9" s="1"/>
  <c r="J169" i="9"/>
  <c r="J164" i="9" s="1"/>
  <c r="I169" i="9"/>
  <c r="I164" i="9" s="1"/>
  <c r="H169" i="9"/>
  <c r="H164" i="9" s="1"/>
  <c r="G169" i="9"/>
  <c r="G164" i="9" s="1"/>
  <c r="F169" i="9"/>
  <c r="F164" i="9" s="1"/>
  <c r="E169" i="9"/>
  <c r="E164" i="9" s="1"/>
  <c r="D169" i="9"/>
  <c r="D164" i="9" s="1"/>
  <c r="C169" i="9"/>
  <c r="C164" i="9" s="1"/>
  <c r="B169" i="9"/>
  <c r="B164" i="9" s="1"/>
  <c r="S169" i="17"/>
  <c r="S164" i="17" s="1"/>
  <c r="R169" i="17"/>
  <c r="R164" i="17" s="1"/>
  <c r="Q169" i="17"/>
  <c r="Q164" i="17" s="1"/>
  <c r="P169" i="17"/>
  <c r="P164" i="17" s="1"/>
  <c r="N169" i="17"/>
  <c r="N164" i="17" s="1"/>
  <c r="M169" i="17"/>
  <c r="M164" i="17" s="1"/>
  <c r="L169" i="17"/>
  <c r="L164" i="17" s="1"/>
  <c r="K169" i="17"/>
  <c r="K164" i="17" s="1"/>
  <c r="J169" i="17"/>
  <c r="J164" i="17" s="1"/>
  <c r="I169" i="17"/>
  <c r="I164" i="17" s="1"/>
  <c r="H169" i="17"/>
  <c r="H164" i="17" s="1"/>
  <c r="G169" i="17"/>
  <c r="G164" i="17" s="1"/>
  <c r="F169" i="17"/>
  <c r="F164" i="17" s="1"/>
  <c r="E169" i="17"/>
  <c r="E164" i="17" s="1"/>
  <c r="D169" i="17"/>
  <c r="D164" i="17" s="1"/>
  <c r="C169" i="17"/>
  <c r="C164" i="17" s="1"/>
  <c r="B169" i="17"/>
  <c r="B164" i="17" s="1"/>
  <c r="O169" i="16"/>
  <c r="O164" i="16" s="1"/>
  <c r="N169" i="16"/>
  <c r="N164" i="16" s="1"/>
  <c r="M169" i="16"/>
  <c r="M164" i="16" s="1"/>
  <c r="L169" i="16"/>
  <c r="L164" i="16" s="1"/>
  <c r="K169" i="16"/>
  <c r="K164" i="16" s="1"/>
  <c r="J169" i="16"/>
  <c r="J164" i="16" s="1"/>
  <c r="I169" i="16"/>
  <c r="I164" i="16" s="1"/>
  <c r="H169" i="16"/>
  <c r="H164" i="16" s="1"/>
  <c r="G169" i="16"/>
  <c r="G164" i="16" s="1"/>
  <c r="F169" i="16"/>
  <c r="F164" i="16" s="1"/>
  <c r="E169" i="16"/>
  <c r="E164" i="16" s="1"/>
  <c r="D169" i="16"/>
  <c r="D164" i="16" s="1"/>
  <c r="C169" i="16"/>
  <c r="C164" i="16" s="1"/>
  <c r="B169" i="16"/>
  <c r="B164" i="16" s="1"/>
  <c r="O169" i="19"/>
  <c r="O164" i="19" s="1"/>
  <c r="N169" i="19"/>
  <c r="N164" i="19" s="1"/>
  <c r="M169" i="19"/>
  <c r="M164" i="19" s="1"/>
  <c r="L169" i="19"/>
  <c r="L164" i="19" s="1"/>
  <c r="K169" i="19"/>
  <c r="K164" i="19" s="1"/>
  <c r="J169" i="19"/>
  <c r="J164" i="19" s="1"/>
  <c r="I169" i="19"/>
  <c r="I164" i="19" s="1"/>
  <c r="H169" i="19"/>
  <c r="H164" i="19" s="1"/>
  <c r="G169" i="19"/>
  <c r="G164" i="19" s="1"/>
  <c r="F169" i="19"/>
  <c r="F164" i="19" s="1"/>
  <c r="E169" i="19"/>
  <c r="E164" i="19" s="1"/>
  <c r="D169" i="19"/>
  <c r="D164" i="19" s="1"/>
  <c r="C169" i="19"/>
  <c r="C164" i="19" s="1"/>
  <c r="B169" i="19"/>
  <c r="B164" i="19" s="1"/>
  <c r="P169" i="18"/>
  <c r="P164" i="18" s="1"/>
  <c r="O169" i="18"/>
  <c r="O164" i="18" s="1"/>
  <c r="N169" i="18"/>
  <c r="N164" i="18" s="1"/>
  <c r="M169" i="18"/>
  <c r="M164" i="18" s="1"/>
  <c r="L169" i="18"/>
  <c r="L164" i="18" s="1"/>
  <c r="K169" i="18"/>
  <c r="K164" i="18" s="1"/>
  <c r="J169" i="18"/>
  <c r="J164" i="18" s="1"/>
  <c r="I169" i="18"/>
  <c r="I164" i="18" s="1"/>
  <c r="H169" i="18"/>
  <c r="H164" i="18" s="1"/>
  <c r="G169" i="18"/>
  <c r="G164" i="18" s="1"/>
  <c r="F169" i="18"/>
  <c r="F164" i="18" s="1"/>
  <c r="E169" i="18"/>
  <c r="E164" i="18" s="1"/>
  <c r="D169" i="18"/>
  <c r="D164" i="18" s="1"/>
  <c r="C169" i="18"/>
  <c r="C164" i="18" s="1"/>
  <c r="B169" i="18"/>
  <c r="B164" i="18" s="1"/>
  <c r="R7" i="22"/>
  <c r="R6" i="22"/>
  <c r="R5" i="22"/>
  <c r="R4" i="22"/>
  <c r="S18" i="21"/>
  <c r="T18" i="21" s="1"/>
  <c r="S17" i="21"/>
  <c r="T17" i="21" s="1"/>
  <c r="S16" i="21"/>
  <c r="T16" i="21" s="1"/>
  <c r="S14" i="21"/>
  <c r="T14" i="21" s="1"/>
  <c r="S10" i="21"/>
  <c r="T10" i="21" s="1"/>
  <c r="S9" i="21"/>
  <c r="T9" i="21" s="1"/>
  <c r="S8" i="21"/>
  <c r="T8" i="21" s="1"/>
  <c r="B25" i="20"/>
  <c r="B195" i="9" s="1"/>
  <c r="B24" i="20"/>
  <c r="B194" i="9" s="1"/>
  <c r="B177" i="18"/>
  <c r="B176" i="16"/>
  <c r="C15" i="7"/>
  <c r="D244" i="12" l="1"/>
  <c r="L244" i="12"/>
  <c r="P244" i="12"/>
  <c r="T244" i="12"/>
  <c r="T331" i="12" s="1"/>
  <c r="T12" i="12" s="1"/>
  <c r="B244" i="12"/>
  <c r="F244" i="12"/>
  <c r="J244" i="12"/>
  <c r="N244" i="12"/>
  <c r="N331" i="12" s="1"/>
  <c r="N12" i="12" s="1"/>
  <c r="H244" i="12"/>
  <c r="U244" i="12"/>
  <c r="Q244" i="12"/>
  <c r="Q331" i="12" s="1"/>
  <c r="Q12" i="12" s="1"/>
  <c r="L244" i="9"/>
  <c r="B244" i="17"/>
  <c r="C256" i="17"/>
  <c r="H256" i="17"/>
  <c r="K256" i="17"/>
  <c r="K257" i="17" s="1"/>
  <c r="N256" i="17"/>
  <c r="B195" i="17"/>
  <c r="B214" i="17" s="1"/>
  <c r="B217" i="17" s="1"/>
  <c r="B220" i="17" s="1"/>
  <c r="F256" i="17"/>
  <c r="I256" i="17"/>
  <c r="O256" i="17"/>
  <c r="D244" i="17"/>
  <c r="D331" i="17" s="1"/>
  <c r="D12" i="17" s="1"/>
  <c r="L244" i="17"/>
  <c r="Q256" i="17"/>
  <c r="C256" i="12"/>
  <c r="F256" i="12"/>
  <c r="I256" i="12"/>
  <c r="I274" i="12" s="1"/>
  <c r="L256" i="12"/>
  <c r="L273" i="12" s="1"/>
  <c r="S256" i="12"/>
  <c r="N10" i="12"/>
  <c r="J226" i="12"/>
  <c r="J227" i="12" s="1"/>
  <c r="O256" i="12"/>
  <c r="D256" i="17"/>
  <c r="G256" i="17"/>
  <c r="L256" i="17"/>
  <c r="R256" i="17"/>
  <c r="R268" i="17" s="1"/>
  <c r="B256" i="18"/>
  <c r="P226" i="12"/>
  <c r="P227" i="12" s="1"/>
  <c r="D256" i="12"/>
  <c r="D270" i="12" s="1"/>
  <c r="G256" i="12"/>
  <c r="G274" i="12" s="1"/>
  <c r="J256" i="12"/>
  <c r="M256" i="12"/>
  <c r="M266" i="12" s="1"/>
  <c r="P256" i="12"/>
  <c r="P266" i="12" s="1"/>
  <c r="T256" i="12"/>
  <c r="T266" i="12" s="1"/>
  <c r="E10" i="12"/>
  <c r="Q10" i="12"/>
  <c r="E226" i="19"/>
  <c r="E227" i="19" s="1"/>
  <c r="E10" i="19"/>
  <c r="B256" i="12"/>
  <c r="K256" i="12"/>
  <c r="R256" i="12"/>
  <c r="B256" i="17"/>
  <c r="B274" i="17" s="1"/>
  <c r="E256" i="17"/>
  <c r="J256" i="17"/>
  <c r="J263" i="17" s="1"/>
  <c r="M256" i="17"/>
  <c r="M274" i="17" s="1"/>
  <c r="P256" i="17"/>
  <c r="P267" i="17" s="1"/>
  <c r="S256" i="17"/>
  <c r="S274" i="17" s="1"/>
  <c r="R226" i="17"/>
  <c r="R227" i="17" s="1"/>
  <c r="D226" i="12"/>
  <c r="D227" i="12" s="1"/>
  <c r="E256" i="12"/>
  <c r="E273" i="12" s="1"/>
  <c r="H256" i="12"/>
  <c r="N256" i="12"/>
  <c r="N269" i="12" s="1"/>
  <c r="Q256" i="12"/>
  <c r="Q265" i="12" s="1"/>
  <c r="U256" i="12"/>
  <c r="U262" i="12" s="1"/>
  <c r="E244" i="12"/>
  <c r="H10" i="12"/>
  <c r="U10" i="12"/>
  <c r="C250" i="18"/>
  <c r="D256" i="9"/>
  <c r="G256" i="9"/>
  <c r="K256" i="9"/>
  <c r="N256" i="9"/>
  <c r="H256" i="9"/>
  <c r="H273" i="9" s="1"/>
  <c r="B256" i="9"/>
  <c r="E256" i="9"/>
  <c r="E266" i="9" s="1"/>
  <c r="I256" i="9"/>
  <c r="I266" i="9" s="1"/>
  <c r="L256" i="9"/>
  <c r="L273" i="9" s="1"/>
  <c r="O256" i="9"/>
  <c r="C256" i="9"/>
  <c r="F256" i="9"/>
  <c r="J256" i="9"/>
  <c r="M256" i="9"/>
  <c r="P256" i="9"/>
  <c r="F256" i="16"/>
  <c r="F266" i="16" s="1"/>
  <c r="O256" i="16"/>
  <c r="O273" i="16" s="1"/>
  <c r="C256" i="16"/>
  <c r="C271" i="16" s="1"/>
  <c r="G256" i="16"/>
  <c r="G262" i="16" s="1"/>
  <c r="K256" i="16"/>
  <c r="K275" i="16" s="1"/>
  <c r="M256" i="16"/>
  <c r="M263" i="16" s="1"/>
  <c r="B256" i="16"/>
  <c r="B260" i="16" s="1"/>
  <c r="D256" i="16"/>
  <c r="D258" i="16" s="1"/>
  <c r="H256" i="16"/>
  <c r="H267" i="16" s="1"/>
  <c r="N256" i="16"/>
  <c r="N266" i="16" s="1"/>
  <c r="J256" i="16"/>
  <c r="J263" i="16" s="1"/>
  <c r="E256" i="16"/>
  <c r="I256" i="16"/>
  <c r="L256" i="16"/>
  <c r="N256" i="19"/>
  <c r="E256" i="19"/>
  <c r="I256" i="19"/>
  <c r="J256" i="19"/>
  <c r="L256" i="19"/>
  <c r="C256" i="19"/>
  <c r="C272" i="19" s="1"/>
  <c r="F256" i="19"/>
  <c r="F272" i="19" s="1"/>
  <c r="O256" i="19"/>
  <c r="O269" i="19" s="1"/>
  <c r="G256" i="19"/>
  <c r="M256" i="19"/>
  <c r="B256" i="19"/>
  <c r="B258" i="19" s="1"/>
  <c r="D256" i="19"/>
  <c r="D274" i="19" s="1"/>
  <c r="H256" i="19"/>
  <c r="H274" i="19" s="1"/>
  <c r="K256" i="19"/>
  <c r="K271" i="19" s="1"/>
  <c r="M281" i="18"/>
  <c r="M289" i="18" s="1"/>
  <c r="L250" i="17"/>
  <c r="D250" i="17"/>
  <c r="R250" i="17"/>
  <c r="G250" i="17"/>
  <c r="F250" i="17"/>
  <c r="Q250" i="17"/>
  <c r="B250" i="17"/>
  <c r="M250" i="17"/>
  <c r="H250" i="17"/>
  <c r="I250" i="17"/>
  <c r="E250" i="17"/>
  <c r="P250" i="17"/>
  <c r="K250" i="17"/>
  <c r="O250" i="17"/>
  <c r="S250" i="17"/>
  <c r="C250" i="17"/>
  <c r="N250" i="17"/>
  <c r="J250" i="17"/>
  <c r="J250" i="19"/>
  <c r="E250" i="19"/>
  <c r="B250" i="19"/>
  <c r="N250" i="19"/>
  <c r="M250" i="19"/>
  <c r="I250" i="19"/>
  <c r="D250" i="19"/>
  <c r="K250" i="19"/>
  <c r="L250" i="19"/>
  <c r="H250" i="19"/>
  <c r="G250" i="19"/>
  <c r="F250" i="19"/>
  <c r="C250" i="19"/>
  <c r="O250" i="19"/>
  <c r="L250" i="16"/>
  <c r="I250" i="16"/>
  <c r="E250" i="16"/>
  <c r="D250" i="16"/>
  <c r="B250" i="16"/>
  <c r="O250" i="16"/>
  <c r="G250" i="16"/>
  <c r="C250" i="16"/>
  <c r="H250" i="16"/>
  <c r="F250" i="16"/>
  <c r="K250" i="16"/>
  <c r="J250" i="16"/>
  <c r="M250" i="16"/>
  <c r="N250" i="16"/>
  <c r="H250" i="9"/>
  <c r="K250" i="9"/>
  <c r="E250" i="9"/>
  <c r="J250" i="9"/>
  <c r="B250" i="9"/>
  <c r="G250" i="9"/>
  <c r="I250" i="9"/>
  <c r="M250" i="9"/>
  <c r="D250" i="9"/>
  <c r="F250" i="9"/>
  <c r="N250" i="9"/>
  <c r="L250" i="9"/>
  <c r="C250" i="9"/>
  <c r="P250" i="9"/>
  <c r="O250" i="9"/>
  <c r="J250" i="12"/>
  <c r="N250" i="12"/>
  <c r="R250" i="12"/>
  <c r="I250" i="12"/>
  <c r="O250" i="12"/>
  <c r="S250" i="12"/>
  <c r="M250" i="12"/>
  <c r="E250" i="12"/>
  <c r="Q250" i="12"/>
  <c r="L250" i="12"/>
  <c r="G250" i="12"/>
  <c r="B250" i="12"/>
  <c r="D250" i="12"/>
  <c r="P250" i="12"/>
  <c r="H250" i="12"/>
  <c r="U250" i="12"/>
  <c r="K250" i="12"/>
  <c r="C250" i="12"/>
  <c r="T250" i="12"/>
  <c r="F250" i="12"/>
  <c r="L256" i="18"/>
  <c r="F250" i="18"/>
  <c r="D226" i="18"/>
  <c r="D227" i="18" s="1"/>
  <c r="C256" i="18"/>
  <c r="C266" i="18" s="1"/>
  <c r="F256" i="18"/>
  <c r="F263" i="18" s="1"/>
  <c r="M256" i="18"/>
  <c r="M265" i="18" s="1"/>
  <c r="P256" i="18"/>
  <c r="P270" i="18" s="1"/>
  <c r="E256" i="18"/>
  <c r="O256" i="18"/>
  <c r="D256" i="18"/>
  <c r="D259" i="18" s="1"/>
  <c r="G256" i="18"/>
  <c r="G269" i="18" s="1"/>
  <c r="J256" i="18"/>
  <c r="J272" i="18" s="1"/>
  <c r="N256" i="18"/>
  <c r="N272" i="18" s="1"/>
  <c r="I256" i="18"/>
  <c r="H256" i="18"/>
  <c r="H273" i="18" s="1"/>
  <c r="K256" i="18"/>
  <c r="K273" i="18" s="1"/>
  <c r="K250" i="18"/>
  <c r="H250" i="18"/>
  <c r="O250" i="18"/>
  <c r="I250" i="18"/>
  <c r="E250" i="18"/>
  <c r="N250" i="18"/>
  <c r="J250" i="18"/>
  <c r="G250" i="18"/>
  <c r="D250" i="18"/>
  <c r="P250" i="18"/>
  <c r="M250" i="18"/>
  <c r="B250" i="18"/>
  <c r="L250" i="18"/>
  <c r="B194" i="18"/>
  <c r="B213" i="18" s="1"/>
  <c r="B216" i="18" s="1"/>
  <c r="B219" i="18" s="1"/>
  <c r="B194" i="16"/>
  <c r="B213" i="16" s="1"/>
  <c r="B216" i="16" s="1"/>
  <c r="B219" i="16" s="1"/>
  <c r="B194" i="12"/>
  <c r="B213" i="12" s="1"/>
  <c r="B216" i="12" s="1"/>
  <c r="B219" i="12" s="1"/>
  <c r="B170" i="7"/>
  <c r="B185" i="7" s="1"/>
  <c r="B188" i="7" s="1"/>
  <c r="B191" i="7" s="1"/>
  <c r="B195" i="18"/>
  <c r="B214" i="18" s="1"/>
  <c r="B217" i="18" s="1"/>
  <c r="B220" i="18" s="1"/>
  <c r="B195" i="16"/>
  <c r="B214" i="16" s="1"/>
  <c r="B217" i="16" s="1"/>
  <c r="B220" i="16" s="1"/>
  <c r="B195" i="12"/>
  <c r="B214" i="12" s="1"/>
  <c r="B217" i="12" s="1"/>
  <c r="B220" i="12" s="1"/>
  <c r="B171" i="7"/>
  <c r="B186" i="7" s="1"/>
  <c r="B189" i="7" s="1"/>
  <c r="B192" i="7" s="1"/>
  <c r="B194" i="17"/>
  <c r="B213" i="17" s="1"/>
  <c r="B216" i="17" s="1"/>
  <c r="B219" i="17" s="1"/>
  <c r="B194" i="19"/>
  <c r="B213" i="19" s="1"/>
  <c r="B216" i="19" s="1"/>
  <c r="B219" i="19" s="1"/>
  <c r="B195" i="19"/>
  <c r="B214" i="19" s="1"/>
  <c r="B217" i="19" s="1"/>
  <c r="B220" i="19" s="1"/>
  <c r="C220" i="19" s="1"/>
  <c r="C8" i="19" s="1"/>
  <c r="D244" i="18"/>
  <c r="G244" i="18"/>
  <c r="G331" i="18" s="1"/>
  <c r="G12" i="18" s="1"/>
  <c r="J244" i="18"/>
  <c r="N244" i="18"/>
  <c r="N331" i="18" s="1"/>
  <c r="N12" i="18" s="1"/>
  <c r="H244" i="18"/>
  <c r="K244" i="18"/>
  <c r="K331" i="18" s="1"/>
  <c r="K12" i="18" s="1"/>
  <c r="C226" i="18"/>
  <c r="C227" i="18" s="1"/>
  <c r="B215" i="7"/>
  <c r="K10" i="12"/>
  <c r="O10" i="12"/>
  <c r="R10" i="12"/>
  <c r="C10" i="12"/>
  <c r="F10" i="12"/>
  <c r="I10" i="12"/>
  <c r="L10" i="12"/>
  <c r="S10" i="12"/>
  <c r="H265" i="12"/>
  <c r="U259" i="12"/>
  <c r="G10" i="12"/>
  <c r="M10" i="12"/>
  <c r="T10" i="12"/>
  <c r="G10" i="16"/>
  <c r="M10" i="16"/>
  <c r="N10" i="19"/>
  <c r="G10" i="17"/>
  <c r="L10" i="17"/>
  <c r="D10" i="17"/>
  <c r="M226" i="17"/>
  <c r="M227" i="17" s="1"/>
  <c r="S226" i="17"/>
  <c r="S227" i="17" s="1"/>
  <c r="M244" i="17"/>
  <c r="M331" i="17" s="1"/>
  <c r="M12" i="17" s="1"/>
  <c r="C10" i="17"/>
  <c r="H10" i="17"/>
  <c r="K10" i="17"/>
  <c r="N10" i="17"/>
  <c r="E10" i="17"/>
  <c r="J10" i="17"/>
  <c r="P226" i="17"/>
  <c r="P227" i="17" s="1"/>
  <c r="F10" i="17"/>
  <c r="I10" i="17"/>
  <c r="Q10" i="17"/>
  <c r="B177" i="17"/>
  <c r="L281" i="17" s="1"/>
  <c r="L286" i="17" s="1"/>
  <c r="B177" i="12"/>
  <c r="G281" i="12" s="1"/>
  <c r="G288" i="12" s="1"/>
  <c r="B177" i="16"/>
  <c r="G281" i="16" s="1"/>
  <c r="G296" i="16" s="1"/>
  <c r="B177" i="19"/>
  <c r="B176" i="12"/>
  <c r="B176" i="9"/>
  <c r="B156" i="7"/>
  <c r="B269" i="7" s="1"/>
  <c r="B176" i="18"/>
  <c r="O306" i="18" s="1"/>
  <c r="B177" i="9"/>
  <c r="J281" i="9" s="1"/>
  <c r="B157" i="7"/>
  <c r="B244" i="7" s="1"/>
  <c r="B256" i="7" s="1"/>
  <c r="B176" i="17"/>
  <c r="F306" i="17" s="1"/>
  <c r="B176" i="19"/>
  <c r="J268" i="12"/>
  <c r="U272" i="12"/>
  <c r="G10" i="9"/>
  <c r="N10" i="9"/>
  <c r="H10" i="9"/>
  <c r="D10" i="9"/>
  <c r="K10" i="9"/>
  <c r="J10" i="16"/>
  <c r="O10" i="16"/>
  <c r="C10" i="16"/>
  <c r="K10" i="16"/>
  <c r="G244" i="16"/>
  <c r="G331" i="16" s="1"/>
  <c r="G12" i="16" s="1"/>
  <c r="M244" i="16"/>
  <c r="M331" i="16" s="1"/>
  <c r="M12" i="16" s="1"/>
  <c r="F10" i="16"/>
  <c r="I10" i="19"/>
  <c r="L10" i="19"/>
  <c r="H10" i="18"/>
  <c r="K10" i="18"/>
  <c r="E10" i="18"/>
  <c r="I10" i="18"/>
  <c r="L10" i="18"/>
  <c r="O10" i="18"/>
  <c r="C10" i="18"/>
  <c r="F10" i="18"/>
  <c r="M10" i="18"/>
  <c r="P10" i="18"/>
  <c r="G10" i="18"/>
  <c r="J10" i="18"/>
  <c r="N10" i="18"/>
  <c r="D244" i="9"/>
  <c r="D331" i="9" s="1"/>
  <c r="D12" i="9" s="1"/>
  <c r="G244" i="9"/>
  <c r="G331" i="9" s="1"/>
  <c r="G12" i="9" s="1"/>
  <c r="K244" i="9"/>
  <c r="K331" i="9" s="1"/>
  <c r="K12" i="9" s="1"/>
  <c r="N244" i="9"/>
  <c r="N331" i="9" s="1"/>
  <c r="N12" i="9" s="1"/>
  <c r="E10" i="9"/>
  <c r="I10" i="9"/>
  <c r="L10" i="9"/>
  <c r="O10" i="9"/>
  <c r="B214" i="9"/>
  <c r="B217" i="9" s="1"/>
  <c r="B220" i="9" s="1"/>
  <c r="H244" i="9"/>
  <c r="H331" i="9" s="1"/>
  <c r="H12" i="9" s="1"/>
  <c r="C244" i="9"/>
  <c r="C331" i="9" s="1"/>
  <c r="C12" i="9" s="1"/>
  <c r="F244" i="9"/>
  <c r="F331" i="9" s="1"/>
  <c r="F12" i="9" s="1"/>
  <c r="J244" i="9"/>
  <c r="M244" i="9"/>
  <c r="P244" i="9"/>
  <c r="P331" i="9" s="1"/>
  <c r="P12" i="9" s="1"/>
  <c r="C10" i="9"/>
  <c r="F10" i="9"/>
  <c r="J10" i="9"/>
  <c r="M10" i="9"/>
  <c r="P10" i="9"/>
  <c r="C244" i="16"/>
  <c r="C331" i="16" s="1"/>
  <c r="C12" i="16" s="1"/>
  <c r="K244" i="16"/>
  <c r="C306" i="16"/>
  <c r="C321" i="16" s="1"/>
  <c r="O267" i="16"/>
  <c r="B244" i="16"/>
  <c r="B331" i="16" s="1"/>
  <c r="B12" i="16" s="1"/>
  <c r="F244" i="16"/>
  <c r="F331" i="16" s="1"/>
  <c r="F12" i="16" s="1"/>
  <c r="J244" i="16"/>
  <c r="J331" i="16" s="1"/>
  <c r="J12" i="16" s="1"/>
  <c r="O244" i="16"/>
  <c r="O331" i="16" s="1"/>
  <c r="O12" i="16" s="1"/>
  <c r="E10" i="16"/>
  <c r="I10" i="16"/>
  <c r="L10" i="16"/>
  <c r="D10" i="16"/>
  <c r="H10" i="16"/>
  <c r="N10" i="16"/>
  <c r="G226" i="19"/>
  <c r="G227" i="19" s="1"/>
  <c r="G10" i="19"/>
  <c r="J226" i="19"/>
  <c r="J227" i="19" s="1"/>
  <c r="J10" i="19"/>
  <c r="M226" i="19"/>
  <c r="M227" i="19" s="1"/>
  <c r="M10" i="19"/>
  <c r="E244" i="19"/>
  <c r="E331" i="19" s="1"/>
  <c r="E12" i="19" s="1"/>
  <c r="I244" i="19"/>
  <c r="I331" i="19" s="1"/>
  <c r="I12" i="19" s="1"/>
  <c r="L244" i="19"/>
  <c r="L331" i="19" s="1"/>
  <c r="L12" i="19" s="1"/>
  <c r="N244" i="19"/>
  <c r="N331" i="19" s="1"/>
  <c r="N12" i="19" s="1"/>
  <c r="F10" i="19"/>
  <c r="D226" i="19"/>
  <c r="D227" i="19" s="1"/>
  <c r="D10" i="19"/>
  <c r="H226" i="19"/>
  <c r="H227" i="19" s="1"/>
  <c r="H10" i="19"/>
  <c r="K226" i="19"/>
  <c r="K227" i="19" s="1"/>
  <c r="K10" i="19"/>
  <c r="C10" i="19"/>
  <c r="O10" i="19"/>
  <c r="G244" i="19"/>
  <c r="G331" i="19" s="1"/>
  <c r="G12" i="19" s="1"/>
  <c r="J244" i="19"/>
  <c r="J331" i="19" s="1"/>
  <c r="J12" i="19" s="1"/>
  <c r="M244" i="19"/>
  <c r="M331" i="19" s="1"/>
  <c r="M12" i="19" s="1"/>
  <c r="B331" i="12"/>
  <c r="B12" i="12" s="1"/>
  <c r="K331" i="12"/>
  <c r="K12" i="12" s="1"/>
  <c r="O331" i="12"/>
  <c r="O12" i="12" s="1"/>
  <c r="R331" i="12"/>
  <c r="R12" i="12" s="1"/>
  <c r="H331" i="12"/>
  <c r="H12" i="12" s="1"/>
  <c r="U331" i="12"/>
  <c r="U12" i="12" s="1"/>
  <c r="G331" i="12"/>
  <c r="G12" i="12" s="1"/>
  <c r="P331" i="12"/>
  <c r="P12" i="12" s="1"/>
  <c r="C331" i="12"/>
  <c r="C12" i="12" s="1"/>
  <c r="F331" i="12"/>
  <c r="F12" i="12" s="1"/>
  <c r="I331" i="12"/>
  <c r="I12" i="12" s="1"/>
  <c r="L331" i="12"/>
  <c r="L12" i="12" s="1"/>
  <c r="S331" i="12"/>
  <c r="S12" i="12" s="1"/>
  <c r="J331" i="12"/>
  <c r="J12" i="12" s="1"/>
  <c r="E331" i="12"/>
  <c r="E12" i="12" s="1"/>
  <c r="M331" i="12"/>
  <c r="M12" i="12" s="1"/>
  <c r="D331" i="12"/>
  <c r="D12" i="12" s="1"/>
  <c r="D331" i="18"/>
  <c r="D12" i="18" s="1"/>
  <c r="J331" i="18"/>
  <c r="J12" i="18" s="1"/>
  <c r="H331" i="18"/>
  <c r="H12" i="18" s="1"/>
  <c r="C260" i="18"/>
  <c r="C244" i="18"/>
  <c r="C331" i="18" s="1"/>
  <c r="C12" i="18" s="1"/>
  <c r="F244" i="18"/>
  <c r="F331" i="18" s="1"/>
  <c r="F12" i="18" s="1"/>
  <c r="M244" i="18"/>
  <c r="M331" i="18" s="1"/>
  <c r="M12" i="18" s="1"/>
  <c r="P244" i="18"/>
  <c r="P331" i="18" s="1"/>
  <c r="P12" i="18" s="1"/>
  <c r="G270" i="12"/>
  <c r="G273" i="12"/>
  <c r="G257" i="12"/>
  <c r="G260" i="12"/>
  <c r="T274" i="12"/>
  <c r="T264" i="12"/>
  <c r="F275" i="12"/>
  <c r="F271" i="12"/>
  <c r="F267" i="12"/>
  <c r="F263" i="12"/>
  <c r="F259" i="12"/>
  <c r="F272" i="12"/>
  <c r="F270" i="12"/>
  <c r="F266" i="12"/>
  <c r="F262" i="12"/>
  <c r="F258" i="12"/>
  <c r="F273" i="12"/>
  <c r="F268" i="12"/>
  <c r="F260" i="12"/>
  <c r="F261" i="12"/>
  <c r="F265" i="12"/>
  <c r="F257" i="12"/>
  <c r="F264" i="12"/>
  <c r="F274" i="12"/>
  <c r="F269" i="12"/>
  <c r="L271" i="12"/>
  <c r="L272" i="12"/>
  <c r="C275" i="12"/>
  <c r="C271" i="12"/>
  <c r="C272" i="12"/>
  <c r="C267" i="12"/>
  <c r="C263" i="12"/>
  <c r="C259" i="12"/>
  <c r="C273" i="12"/>
  <c r="C270" i="12"/>
  <c r="C266" i="12"/>
  <c r="C262" i="12"/>
  <c r="C258" i="12"/>
  <c r="C274" i="12"/>
  <c r="C264" i="12"/>
  <c r="C260" i="12"/>
  <c r="C257" i="12"/>
  <c r="C269" i="12"/>
  <c r="C261" i="12"/>
  <c r="C268" i="12"/>
  <c r="C265" i="12"/>
  <c r="I265" i="12"/>
  <c r="M273" i="12"/>
  <c r="S275" i="12"/>
  <c r="S271" i="12"/>
  <c r="S267" i="12"/>
  <c r="S263" i="12"/>
  <c r="S259" i="12"/>
  <c r="S272" i="12"/>
  <c r="S266" i="12"/>
  <c r="S262" i="12"/>
  <c r="S258" i="12"/>
  <c r="S273" i="12"/>
  <c r="S270" i="12"/>
  <c r="S269" i="12"/>
  <c r="S274" i="12"/>
  <c r="S268" i="12"/>
  <c r="S260" i="12"/>
  <c r="S261" i="12"/>
  <c r="S265" i="12"/>
  <c r="S257" i="12"/>
  <c r="S264" i="12"/>
  <c r="E261" i="12"/>
  <c r="E268" i="12"/>
  <c r="E272" i="12"/>
  <c r="H273" i="12"/>
  <c r="H257" i="12"/>
  <c r="H274" i="12"/>
  <c r="N271" i="12"/>
  <c r="Q269" i="12"/>
  <c r="Q274" i="12"/>
  <c r="Q260" i="12"/>
  <c r="Q275" i="12"/>
  <c r="D258" i="12"/>
  <c r="D257" i="12"/>
  <c r="P271" i="12"/>
  <c r="Q263" i="12"/>
  <c r="J264" i="12"/>
  <c r="N267" i="12"/>
  <c r="Q258" i="12"/>
  <c r="J259" i="12"/>
  <c r="J267" i="12"/>
  <c r="H270" i="12"/>
  <c r="Q259" i="12"/>
  <c r="J260" i="12"/>
  <c r="U263" i="12"/>
  <c r="Q267" i="12"/>
  <c r="U264" i="12"/>
  <c r="J274" i="12"/>
  <c r="J271" i="12"/>
  <c r="J270" i="12"/>
  <c r="J266" i="12"/>
  <c r="J262" i="12"/>
  <c r="J258" i="12"/>
  <c r="J275" i="12"/>
  <c r="J272" i="12"/>
  <c r="J269" i="12"/>
  <c r="J265" i="12"/>
  <c r="J261" i="12"/>
  <c r="J257" i="12"/>
  <c r="J273" i="12"/>
  <c r="P264" i="12"/>
  <c r="E258" i="12"/>
  <c r="Q266" i="12"/>
  <c r="H258" i="12"/>
  <c r="N258" i="12"/>
  <c r="Q262" i="12"/>
  <c r="D263" i="12"/>
  <c r="J263" i="12"/>
  <c r="B213" i="9"/>
  <c r="B216" i="9" s="1"/>
  <c r="B219" i="9" s="1"/>
  <c r="J331" i="9"/>
  <c r="J12" i="9" s="1"/>
  <c r="M331" i="9"/>
  <c r="M12" i="9" s="1"/>
  <c r="B272" i="9"/>
  <c r="B266" i="9"/>
  <c r="B262" i="9"/>
  <c r="B258" i="9"/>
  <c r="B273" i="9"/>
  <c r="B270" i="9"/>
  <c r="B269" i="9"/>
  <c r="B265" i="9"/>
  <c r="B261" i="9"/>
  <c r="B257" i="9"/>
  <c r="B274" i="9"/>
  <c r="B271" i="9"/>
  <c r="B268" i="9"/>
  <c r="B260" i="9"/>
  <c r="B275" i="9"/>
  <c r="B267" i="9"/>
  <c r="B259" i="9"/>
  <c r="B264" i="9"/>
  <c r="B263" i="9"/>
  <c r="E269" i="9"/>
  <c r="E273" i="9"/>
  <c r="E263" i="9"/>
  <c r="O272" i="9"/>
  <c r="O269" i="9"/>
  <c r="O266" i="9"/>
  <c r="O262" i="9"/>
  <c r="O258" i="9"/>
  <c r="O273" i="9"/>
  <c r="O270" i="9"/>
  <c r="O265" i="9"/>
  <c r="O261" i="9"/>
  <c r="O257" i="9"/>
  <c r="O274" i="9"/>
  <c r="O271" i="9"/>
  <c r="O275" i="9"/>
  <c r="O268" i="9"/>
  <c r="O260" i="9"/>
  <c r="O263" i="9"/>
  <c r="O267" i="9"/>
  <c r="O259" i="9"/>
  <c r="O264" i="9"/>
  <c r="H270" i="9"/>
  <c r="H271" i="9"/>
  <c r="H261" i="9"/>
  <c r="H257" i="9"/>
  <c r="B12" i="9"/>
  <c r="I331" i="9"/>
  <c r="I12" i="9" s="1"/>
  <c r="E331" i="9"/>
  <c r="E12" i="9" s="1"/>
  <c r="L331" i="9"/>
  <c r="L12" i="9" s="1"/>
  <c r="O331" i="9"/>
  <c r="O12" i="9" s="1"/>
  <c r="E244" i="16"/>
  <c r="E331" i="16" s="1"/>
  <c r="E12" i="16" s="1"/>
  <c r="I244" i="16"/>
  <c r="I331" i="16" s="1"/>
  <c r="I12" i="16" s="1"/>
  <c r="L244" i="16"/>
  <c r="L331" i="16" s="1"/>
  <c r="L12" i="16" s="1"/>
  <c r="D306" i="16"/>
  <c r="D319" i="16" s="1"/>
  <c r="H244" i="16"/>
  <c r="H331" i="16" s="1"/>
  <c r="H12" i="16" s="1"/>
  <c r="N244" i="16"/>
  <c r="N331" i="16" s="1"/>
  <c r="N12" i="16" s="1"/>
  <c r="F272" i="16"/>
  <c r="G273" i="16"/>
  <c r="G257" i="16"/>
  <c r="G263" i="16"/>
  <c r="F263" i="16"/>
  <c r="F271" i="16"/>
  <c r="F268" i="16"/>
  <c r="O272" i="16"/>
  <c r="D244" i="16"/>
  <c r="D331" i="16" s="1"/>
  <c r="D12" i="16" s="1"/>
  <c r="D274" i="16"/>
  <c r="D257" i="16"/>
  <c r="D269" i="16"/>
  <c r="D267" i="16"/>
  <c r="K331" i="16"/>
  <c r="K12" i="16" s="1"/>
  <c r="O257" i="16"/>
  <c r="J261" i="16"/>
  <c r="D266" i="16"/>
  <c r="O306" i="16"/>
  <c r="J306" i="16"/>
  <c r="F306" i="16"/>
  <c r="B306" i="16"/>
  <c r="L306" i="16"/>
  <c r="I306" i="16"/>
  <c r="E306" i="16"/>
  <c r="N306" i="16"/>
  <c r="H306" i="16"/>
  <c r="M306" i="16"/>
  <c r="G306" i="16"/>
  <c r="K306" i="16"/>
  <c r="O265" i="19"/>
  <c r="C244" i="19"/>
  <c r="C331" i="19" s="1"/>
  <c r="C12" i="19" s="1"/>
  <c r="F244" i="19"/>
  <c r="F331" i="19" s="1"/>
  <c r="F12" i="19" s="1"/>
  <c r="O244" i="19"/>
  <c r="O331" i="19" s="1"/>
  <c r="O12" i="19" s="1"/>
  <c r="B274" i="19"/>
  <c r="B263" i="19"/>
  <c r="B265" i="19"/>
  <c r="B268" i="19"/>
  <c r="B260" i="19"/>
  <c r="B244" i="19"/>
  <c r="B331" i="19" s="1"/>
  <c r="B12" i="19" s="1"/>
  <c r="D244" i="19"/>
  <c r="D331" i="19" s="1"/>
  <c r="D12" i="19" s="1"/>
  <c r="H244" i="19"/>
  <c r="H331" i="19" s="1"/>
  <c r="H12" i="19" s="1"/>
  <c r="K244" i="19"/>
  <c r="K331" i="19" s="1"/>
  <c r="K12" i="19" s="1"/>
  <c r="G267" i="18"/>
  <c r="B244" i="18"/>
  <c r="E244" i="18"/>
  <c r="E331" i="18" s="1"/>
  <c r="E12" i="18" s="1"/>
  <c r="I244" i="18"/>
  <c r="I331" i="18" s="1"/>
  <c r="I12" i="18" s="1"/>
  <c r="L244" i="18"/>
  <c r="L331" i="18" s="1"/>
  <c r="L12" i="18" s="1"/>
  <c r="O244" i="18"/>
  <c r="O331" i="18" s="1"/>
  <c r="O12" i="18" s="1"/>
  <c r="N281" i="18"/>
  <c r="N288" i="18" s="1"/>
  <c r="G281" i="18"/>
  <c r="G288" i="18" s="1"/>
  <c r="G266" i="18"/>
  <c r="G275" i="18"/>
  <c r="C264" i="18"/>
  <c r="P264" i="18"/>
  <c r="P268" i="18"/>
  <c r="D270" i="18"/>
  <c r="C273" i="18"/>
  <c r="F281" i="18"/>
  <c r="O281" i="18"/>
  <c r="L281" i="18"/>
  <c r="I281" i="18"/>
  <c r="E281" i="18"/>
  <c r="B281" i="18"/>
  <c r="K281" i="18"/>
  <c r="H281" i="18"/>
  <c r="C281" i="18"/>
  <c r="P281" i="18"/>
  <c r="D281" i="18"/>
  <c r="J281" i="18"/>
  <c r="E227" i="17"/>
  <c r="J227" i="17"/>
  <c r="P244" i="17"/>
  <c r="P331" i="17" s="1"/>
  <c r="P12" i="17" s="1"/>
  <c r="S244" i="17"/>
  <c r="S331" i="17" s="1"/>
  <c r="S12" i="17" s="1"/>
  <c r="O226" i="17"/>
  <c r="O227" i="17" s="1"/>
  <c r="I227" i="17"/>
  <c r="H227" i="17"/>
  <c r="K227" i="17"/>
  <c r="N227" i="17"/>
  <c r="D227" i="17"/>
  <c r="C227" i="17"/>
  <c r="L331" i="17"/>
  <c r="L12" i="17" s="1"/>
  <c r="B331" i="17"/>
  <c r="B12" i="17" s="1"/>
  <c r="R263" i="17"/>
  <c r="Q244" i="17"/>
  <c r="Q331" i="17" s="1"/>
  <c r="Q12" i="17" s="1"/>
  <c r="R244" i="17"/>
  <c r="R331" i="17" s="1"/>
  <c r="R12" i="17" s="1"/>
  <c r="D261" i="17"/>
  <c r="J267" i="17"/>
  <c r="E244" i="17"/>
  <c r="E331" i="17" s="1"/>
  <c r="E12" i="17" s="1"/>
  <c r="J244" i="17"/>
  <c r="J331" i="17" s="1"/>
  <c r="J12" i="17" s="1"/>
  <c r="D269" i="17"/>
  <c r="D265" i="17"/>
  <c r="D275" i="17"/>
  <c r="D268" i="17"/>
  <c r="D271" i="17"/>
  <c r="D264" i="17"/>
  <c r="D267" i="17"/>
  <c r="D260" i="17"/>
  <c r="D272" i="17"/>
  <c r="D263" i="17"/>
  <c r="I244" i="17"/>
  <c r="I331" i="17" s="1"/>
  <c r="I12" i="17" s="1"/>
  <c r="O244" i="17"/>
  <c r="O331" i="17" s="1"/>
  <c r="O12" i="17" s="1"/>
  <c r="G244" i="17"/>
  <c r="G331" i="17" s="1"/>
  <c r="G12" i="17" s="1"/>
  <c r="F244" i="17"/>
  <c r="F331" i="17" s="1"/>
  <c r="F12" i="17" s="1"/>
  <c r="C244" i="17"/>
  <c r="C331" i="17" s="1"/>
  <c r="C12" i="17" s="1"/>
  <c r="H244" i="17"/>
  <c r="H331" i="17" s="1"/>
  <c r="H12" i="17" s="1"/>
  <c r="K244" i="17"/>
  <c r="K331" i="17" s="1"/>
  <c r="K12" i="17" s="1"/>
  <c r="N244" i="17"/>
  <c r="N331" i="17" s="1"/>
  <c r="N12" i="17" s="1"/>
  <c r="B219" i="7"/>
  <c r="B232" i="7" s="1"/>
  <c r="B220" i="7"/>
  <c r="B227" i="7"/>
  <c r="B223" i="7"/>
  <c r="B233" i="7"/>
  <c r="B229" i="7"/>
  <c r="S11" i="21"/>
  <c r="S12" i="21"/>
  <c r="S13" i="21"/>
  <c r="S15" i="21"/>
  <c r="T15" i="21" s="1"/>
  <c r="U261" i="12" l="1"/>
  <c r="E270" i="12"/>
  <c r="E275" i="12"/>
  <c r="E271" i="12"/>
  <c r="E265" i="12"/>
  <c r="L264" i="12"/>
  <c r="T267" i="12"/>
  <c r="G268" i="12"/>
  <c r="G263" i="12"/>
  <c r="G261" i="12"/>
  <c r="G258" i="12"/>
  <c r="G272" i="12"/>
  <c r="E263" i="12"/>
  <c r="E260" i="12"/>
  <c r="E274" i="12"/>
  <c r="E269" i="12"/>
  <c r="L262" i="12"/>
  <c r="T269" i="12"/>
  <c r="G264" i="12"/>
  <c r="G259" i="12"/>
  <c r="G265" i="12"/>
  <c r="G262" i="12"/>
  <c r="G275" i="12"/>
  <c r="T275" i="12"/>
  <c r="E262" i="12"/>
  <c r="E266" i="12"/>
  <c r="E267" i="12"/>
  <c r="E259" i="12"/>
  <c r="E277" i="12" s="1"/>
  <c r="E264" i="12"/>
  <c r="E257" i="12"/>
  <c r="L259" i="12"/>
  <c r="G271" i="12"/>
  <c r="G267" i="12"/>
  <c r="G269" i="12"/>
  <c r="G266" i="12"/>
  <c r="D273" i="12"/>
  <c r="Q257" i="12"/>
  <c r="Q270" i="12"/>
  <c r="I258" i="12"/>
  <c r="P269" i="12"/>
  <c r="Q264" i="12"/>
  <c r="P272" i="12"/>
  <c r="P273" i="12"/>
  <c r="Q272" i="12"/>
  <c r="Q277" i="12" s="1"/>
  <c r="Q268" i="12"/>
  <c r="Q261" i="12"/>
  <c r="Q273" i="12"/>
  <c r="I259" i="12"/>
  <c r="Q271" i="12"/>
  <c r="I260" i="12"/>
  <c r="I271" i="12"/>
  <c r="N263" i="12"/>
  <c r="M275" i="12"/>
  <c r="I268" i="12"/>
  <c r="I273" i="12"/>
  <c r="I262" i="12"/>
  <c r="I263" i="12"/>
  <c r="I275" i="12"/>
  <c r="N264" i="12"/>
  <c r="M269" i="12"/>
  <c r="I261" i="12"/>
  <c r="I264" i="12"/>
  <c r="I266" i="12"/>
  <c r="I267" i="12"/>
  <c r="M274" i="12"/>
  <c r="N270" i="12"/>
  <c r="N257" i="12"/>
  <c r="M260" i="12"/>
  <c r="I257" i="12"/>
  <c r="I269" i="12"/>
  <c r="I272" i="12"/>
  <c r="I270" i="12"/>
  <c r="N266" i="12"/>
  <c r="N262" i="12"/>
  <c r="D264" i="12"/>
  <c r="D272" i="12"/>
  <c r="P260" i="12"/>
  <c r="P257" i="12"/>
  <c r="P258" i="12"/>
  <c r="P270" i="12"/>
  <c r="D261" i="12"/>
  <c r="D262" i="12"/>
  <c r="D274" i="12"/>
  <c r="N268" i="12"/>
  <c r="N261" i="12"/>
  <c r="N274" i="12"/>
  <c r="L257" i="12"/>
  <c r="L260" i="12"/>
  <c r="L266" i="12"/>
  <c r="L263" i="12"/>
  <c r="L275" i="12"/>
  <c r="P267" i="12"/>
  <c r="P268" i="12"/>
  <c r="P259" i="12"/>
  <c r="D275" i="12"/>
  <c r="P261" i="12"/>
  <c r="P262" i="12"/>
  <c r="P274" i="12"/>
  <c r="D265" i="12"/>
  <c r="D266" i="12"/>
  <c r="N272" i="12"/>
  <c r="N265" i="12"/>
  <c r="N273" i="12"/>
  <c r="L265" i="12"/>
  <c r="L268" i="12"/>
  <c r="L270" i="12"/>
  <c r="L267" i="12"/>
  <c r="P275" i="12"/>
  <c r="P263" i="12"/>
  <c r="D259" i="12"/>
  <c r="N259" i="12"/>
  <c r="D268" i="12"/>
  <c r="D260" i="12"/>
  <c r="D267" i="12"/>
  <c r="P265" i="12"/>
  <c r="D271" i="12"/>
  <c r="D269" i="12"/>
  <c r="N260" i="12"/>
  <c r="N275" i="12"/>
  <c r="L261" i="12"/>
  <c r="L269" i="12"/>
  <c r="L258" i="12"/>
  <c r="L274" i="12"/>
  <c r="H265" i="9"/>
  <c r="H274" i="9"/>
  <c r="H269" i="9"/>
  <c r="H268" i="9"/>
  <c r="H258" i="9"/>
  <c r="H259" i="9"/>
  <c r="I271" i="9"/>
  <c r="H275" i="9"/>
  <c r="H264" i="9"/>
  <c r="H262" i="9"/>
  <c r="H267" i="9"/>
  <c r="H260" i="9"/>
  <c r="H272" i="9"/>
  <c r="H266" i="9"/>
  <c r="H263" i="9"/>
  <c r="E267" i="9"/>
  <c r="E275" i="9"/>
  <c r="I269" i="9"/>
  <c r="P257" i="17"/>
  <c r="P273" i="17"/>
  <c r="R274" i="17"/>
  <c r="R260" i="17"/>
  <c r="R266" i="17"/>
  <c r="R257" i="17"/>
  <c r="R270" i="17"/>
  <c r="M270" i="17"/>
  <c r="S257" i="17"/>
  <c r="J262" i="17"/>
  <c r="J259" i="17"/>
  <c r="S265" i="17"/>
  <c r="S275" i="17"/>
  <c r="S260" i="17"/>
  <c r="K261" i="17"/>
  <c r="P259" i="17"/>
  <c r="P268" i="17"/>
  <c r="P260" i="17"/>
  <c r="P265" i="17"/>
  <c r="P274" i="17"/>
  <c r="P275" i="17"/>
  <c r="P258" i="17"/>
  <c r="R265" i="17"/>
  <c r="R262" i="17"/>
  <c r="R273" i="17"/>
  <c r="R271" i="17"/>
  <c r="K263" i="17"/>
  <c r="K275" i="17"/>
  <c r="K272" i="17"/>
  <c r="F270" i="16"/>
  <c r="J265" i="16"/>
  <c r="J271" i="16"/>
  <c r="M265" i="16"/>
  <c r="C275" i="16"/>
  <c r="J274" i="16"/>
  <c r="C259" i="16"/>
  <c r="B275" i="16"/>
  <c r="O266" i="16"/>
  <c r="B261" i="16"/>
  <c r="B271" i="16"/>
  <c r="C272" i="16"/>
  <c r="O270" i="19"/>
  <c r="O267" i="19"/>
  <c r="K267" i="19"/>
  <c r="O275" i="19"/>
  <c r="O258" i="19"/>
  <c r="D306" i="19"/>
  <c r="D318" i="19" s="1"/>
  <c r="H258" i="19"/>
  <c r="H275" i="19"/>
  <c r="E8" i="19"/>
  <c r="H272" i="19"/>
  <c r="D257" i="18"/>
  <c r="M268" i="18"/>
  <c r="D275" i="18"/>
  <c r="D260" i="18"/>
  <c r="D261" i="18"/>
  <c r="D262" i="18"/>
  <c r="D274" i="18"/>
  <c r="D267" i="18"/>
  <c r="D269" i="18"/>
  <c r="D266" i="18"/>
  <c r="D263" i="18"/>
  <c r="D273" i="18"/>
  <c r="D272" i="18"/>
  <c r="D268" i="18"/>
  <c r="B275" i="19"/>
  <c r="B226" i="7"/>
  <c r="B236" i="7"/>
  <c r="F281" i="19"/>
  <c r="F298" i="19" s="1"/>
  <c r="O281" i="19"/>
  <c r="M294" i="18"/>
  <c r="M283" i="18"/>
  <c r="F275" i="18"/>
  <c r="F262" i="19"/>
  <c r="H273" i="19"/>
  <c r="O259" i="16"/>
  <c r="L268" i="9"/>
  <c r="M293" i="18"/>
  <c r="P267" i="18"/>
  <c r="H257" i="19"/>
  <c r="H263" i="19"/>
  <c r="H271" i="19"/>
  <c r="J266" i="16"/>
  <c r="D273" i="16"/>
  <c r="D261" i="16"/>
  <c r="J257" i="16"/>
  <c r="O265" i="16"/>
  <c r="O263" i="16"/>
  <c r="F261" i="16"/>
  <c r="F274" i="16"/>
  <c r="F267" i="16"/>
  <c r="H270" i="16"/>
  <c r="H259" i="19"/>
  <c r="O264" i="16"/>
  <c r="M271" i="16"/>
  <c r="M299" i="18"/>
  <c r="F262" i="18"/>
  <c r="H262" i="19"/>
  <c r="H269" i="19"/>
  <c r="O268" i="16"/>
  <c r="D268" i="16"/>
  <c r="D270" i="16"/>
  <c r="O262" i="16"/>
  <c r="F260" i="16"/>
  <c r="I273" i="9"/>
  <c r="M297" i="18"/>
  <c r="M298" i="18"/>
  <c r="M286" i="18"/>
  <c r="M292" i="18"/>
  <c r="M282" i="18"/>
  <c r="M285" i="18"/>
  <c r="M287" i="18"/>
  <c r="M284" i="18"/>
  <c r="M296" i="18"/>
  <c r="M290" i="18"/>
  <c r="M295" i="18"/>
  <c r="M291" i="18"/>
  <c r="M288" i="18"/>
  <c r="M300" i="18"/>
  <c r="G267" i="16"/>
  <c r="G261" i="16"/>
  <c r="G271" i="16"/>
  <c r="G272" i="16"/>
  <c r="G258" i="16"/>
  <c r="G270" i="16"/>
  <c r="G260" i="16"/>
  <c r="D267" i="19"/>
  <c r="C262" i="19"/>
  <c r="C274" i="19"/>
  <c r="H274" i="18"/>
  <c r="N266" i="18"/>
  <c r="M268" i="16"/>
  <c r="M258" i="16"/>
  <c r="N269" i="16"/>
  <c r="M270" i="16"/>
  <c r="M262" i="16"/>
  <c r="M260" i="16"/>
  <c r="M261" i="16"/>
  <c r="M275" i="16"/>
  <c r="B262" i="19"/>
  <c r="B273" i="19"/>
  <c r="B267" i="19"/>
  <c r="B257" i="19"/>
  <c r="B266" i="19"/>
  <c r="B271" i="19"/>
  <c r="B264" i="19"/>
  <c r="B261" i="19"/>
  <c r="B270" i="19"/>
  <c r="B272" i="19"/>
  <c r="P264" i="17"/>
  <c r="P266" i="17"/>
  <c r="P261" i="17"/>
  <c r="P269" i="17"/>
  <c r="P270" i="17"/>
  <c r="P262" i="17"/>
  <c r="P272" i="17"/>
  <c r="P263" i="17"/>
  <c r="P271" i="17"/>
  <c r="J267" i="18"/>
  <c r="J275" i="18"/>
  <c r="C220" i="12"/>
  <c r="C320" i="16"/>
  <c r="L281" i="12"/>
  <c r="L294" i="12" s="1"/>
  <c r="L283" i="17"/>
  <c r="J262" i="18"/>
  <c r="C258" i="18"/>
  <c r="H264" i="18"/>
  <c r="M259" i="18"/>
  <c r="B331" i="18"/>
  <c r="B12" i="18" s="1"/>
  <c r="C257" i="18"/>
  <c r="C271" i="18"/>
  <c r="N264" i="18"/>
  <c r="J263" i="18"/>
  <c r="B230" i="7"/>
  <c r="B224" i="7"/>
  <c r="H266" i="12"/>
  <c r="H267" i="12"/>
  <c r="U260" i="12"/>
  <c r="U257" i="12"/>
  <c r="U273" i="12"/>
  <c r="U275" i="12"/>
  <c r="H259" i="12"/>
  <c r="H271" i="12"/>
  <c r="H268" i="12"/>
  <c r="H269" i="12"/>
  <c r="M264" i="12"/>
  <c r="M272" i="12"/>
  <c r="M265" i="12"/>
  <c r="M262" i="12"/>
  <c r="T271" i="12"/>
  <c r="T259" i="12"/>
  <c r="T265" i="12"/>
  <c r="T262" i="12"/>
  <c r="T270" i="12"/>
  <c r="K8" i="12"/>
  <c r="K18" i="12" s="1"/>
  <c r="B8" i="12"/>
  <c r="B18" i="12" s="1"/>
  <c r="H8" i="12"/>
  <c r="H18" i="12" s="1"/>
  <c r="E8" i="12"/>
  <c r="E18" i="12" s="1"/>
  <c r="D8" i="12"/>
  <c r="D18" i="12" s="1"/>
  <c r="S8" i="12"/>
  <c r="S18" i="12" s="1"/>
  <c r="C8" i="12"/>
  <c r="C18" i="12" s="1"/>
  <c r="U266" i="12"/>
  <c r="U271" i="12"/>
  <c r="U268" i="12"/>
  <c r="U265" i="12"/>
  <c r="H275" i="12"/>
  <c r="H262" i="12"/>
  <c r="H260" i="12"/>
  <c r="H261" i="12"/>
  <c r="M268" i="12"/>
  <c r="M259" i="12"/>
  <c r="M257" i="12"/>
  <c r="M271" i="12"/>
  <c r="M270" i="12"/>
  <c r="T268" i="12"/>
  <c r="T257" i="12"/>
  <c r="T273" i="12"/>
  <c r="T272" i="12"/>
  <c r="H272" i="12"/>
  <c r="U258" i="12"/>
  <c r="U267" i="12"/>
  <c r="U274" i="12"/>
  <c r="U270" i="12"/>
  <c r="U269" i="12"/>
  <c r="H263" i="12"/>
  <c r="H264" i="12"/>
  <c r="M263" i="12"/>
  <c r="M267" i="12"/>
  <c r="M261" i="12"/>
  <c r="M258" i="12"/>
  <c r="T260" i="12"/>
  <c r="T263" i="12"/>
  <c r="T261" i="12"/>
  <c r="T258" i="12"/>
  <c r="O261" i="16"/>
  <c r="O260" i="16"/>
  <c r="O269" i="16"/>
  <c r="O258" i="16"/>
  <c r="O274" i="16"/>
  <c r="O270" i="16"/>
  <c r="K270" i="16"/>
  <c r="O275" i="16"/>
  <c r="O271" i="16"/>
  <c r="C264" i="19"/>
  <c r="K258" i="19"/>
  <c r="K275" i="19"/>
  <c r="C261" i="19"/>
  <c r="K257" i="19"/>
  <c r="C263" i="19"/>
  <c r="K273" i="19"/>
  <c r="M268" i="17"/>
  <c r="B260" i="17"/>
  <c r="S258" i="17"/>
  <c r="S268" i="17"/>
  <c r="S259" i="17"/>
  <c r="S267" i="17"/>
  <c r="S266" i="17"/>
  <c r="B273" i="17"/>
  <c r="M264" i="17"/>
  <c r="M272" i="17"/>
  <c r="S264" i="17"/>
  <c r="S270" i="17"/>
  <c r="S261" i="17"/>
  <c r="S269" i="17"/>
  <c r="S272" i="17"/>
  <c r="M257" i="17"/>
  <c r="M258" i="17"/>
  <c r="S262" i="17"/>
  <c r="S273" i="17"/>
  <c r="S263" i="17"/>
  <c r="S271" i="17"/>
  <c r="M260" i="17"/>
  <c r="B268" i="17"/>
  <c r="B258" i="17"/>
  <c r="B270" i="17"/>
  <c r="J257" i="17"/>
  <c r="M259" i="17"/>
  <c r="M263" i="17"/>
  <c r="M267" i="17"/>
  <c r="M266" i="17"/>
  <c r="B275" i="17"/>
  <c r="B262" i="17"/>
  <c r="R259" i="17"/>
  <c r="R267" i="17"/>
  <c r="R275" i="17"/>
  <c r="R264" i="17"/>
  <c r="R272" i="17"/>
  <c r="M271" i="17"/>
  <c r="M275" i="17"/>
  <c r="M262" i="17"/>
  <c r="B264" i="17"/>
  <c r="M273" i="17"/>
  <c r="M261" i="17"/>
  <c r="M265" i="17"/>
  <c r="M269" i="17"/>
  <c r="B272" i="17"/>
  <c r="R261" i="17"/>
  <c r="R269" i="17"/>
  <c r="R258" i="17"/>
  <c r="H257" i="18"/>
  <c r="N263" i="18"/>
  <c r="N261" i="18"/>
  <c r="N275" i="18"/>
  <c r="M258" i="18"/>
  <c r="H263" i="18"/>
  <c r="P260" i="18"/>
  <c r="H261" i="18"/>
  <c r="N271" i="18"/>
  <c r="N265" i="18"/>
  <c r="N270" i="18"/>
  <c r="G268" i="18"/>
  <c r="M264" i="18"/>
  <c r="M262" i="18"/>
  <c r="M271" i="18"/>
  <c r="M260" i="18"/>
  <c r="M267" i="18"/>
  <c r="P272" i="18"/>
  <c r="H259" i="18"/>
  <c r="H260" i="18"/>
  <c r="H271" i="18"/>
  <c r="N260" i="18"/>
  <c r="N262" i="18"/>
  <c r="G259" i="18"/>
  <c r="G258" i="18"/>
  <c r="M257" i="18"/>
  <c r="M272" i="18"/>
  <c r="F265" i="18"/>
  <c r="L298" i="17"/>
  <c r="L287" i="17"/>
  <c r="H281" i="17"/>
  <c r="H291" i="17" s="1"/>
  <c r="K281" i="17"/>
  <c r="K294" i="17" s="1"/>
  <c r="L291" i="17"/>
  <c r="S281" i="17"/>
  <c r="S285" i="17" s="1"/>
  <c r="E281" i="17"/>
  <c r="E286" i="17" s="1"/>
  <c r="L289" i="17"/>
  <c r="C281" i="17"/>
  <c r="C300" i="17" s="1"/>
  <c r="G292" i="16"/>
  <c r="B248" i="7"/>
  <c r="B257" i="7"/>
  <c r="J281" i="16"/>
  <c r="J300" i="16" s="1"/>
  <c r="B263" i="7"/>
  <c r="L290" i="17"/>
  <c r="L300" i="17"/>
  <c r="L293" i="17"/>
  <c r="L297" i="17"/>
  <c r="O281" i="17"/>
  <c r="O284" i="17" s="1"/>
  <c r="B281" i="17"/>
  <c r="B295" i="17" s="1"/>
  <c r="F281" i="17"/>
  <c r="F283" i="17" s="1"/>
  <c r="N281" i="17"/>
  <c r="N296" i="17" s="1"/>
  <c r="R306" i="12"/>
  <c r="R321" i="12" s="1"/>
  <c r="G281" i="17"/>
  <c r="G299" i="17" s="1"/>
  <c r="L292" i="17"/>
  <c r="L282" i="17"/>
  <c r="L296" i="17"/>
  <c r="L295" i="17"/>
  <c r="I281" i="17"/>
  <c r="I297" i="17" s="1"/>
  <c r="J281" i="17"/>
  <c r="J294" i="17" s="1"/>
  <c r="L288" i="17"/>
  <c r="B250" i="7"/>
  <c r="D281" i="17"/>
  <c r="D299" i="17" s="1"/>
  <c r="L294" i="17"/>
  <c r="L284" i="17"/>
  <c r="L285" i="17"/>
  <c r="L299" i="17"/>
  <c r="M281" i="17"/>
  <c r="M283" i="17" s="1"/>
  <c r="Q281" i="17"/>
  <c r="Q300" i="17" s="1"/>
  <c r="R281" i="17"/>
  <c r="R289" i="17" s="1"/>
  <c r="P281" i="17"/>
  <c r="P285" i="17" s="1"/>
  <c r="G283" i="16"/>
  <c r="B254" i="7"/>
  <c r="S306" i="17"/>
  <c r="S309" i="17" s="1"/>
  <c r="B251" i="7"/>
  <c r="G294" i="16"/>
  <c r="E306" i="9"/>
  <c r="E321" i="9" s="1"/>
  <c r="K281" i="12"/>
  <c r="K296" i="12" s="1"/>
  <c r="B253" i="7"/>
  <c r="B247" i="7"/>
  <c r="B260" i="7"/>
  <c r="M306" i="19"/>
  <c r="K281" i="16"/>
  <c r="K299" i="16" s="1"/>
  <c r="G300" i="16"/>
  <c r="M306" i="9"/>
  <c r="M314" i="9" s="1"/>
  <c r="J281" i="12"/>
  <c r="J287" i="12" s="1"/>
  <c r="G289" i="12"/>
  <c r="C281" i="12"/>
  <c r="C299" i="12" s="1"/>
  <c r="G283" i="12"/>
  <c r="L306" i="12"/>
  <c r="L314" i="12" s="1"/>
  <c r="C306" i="17"/>
  <c r="C307" i="17" s="1"/>
  <c r="Q281" i="12"/>
  <c r="Q297" i="12" s="1"/>
  <c r="T306" i="12"/>
  <c r="T322" i="12" s="1"/>
  <c r="G293" i="12"/>
  <c r="G297" i="12"/>
  <c r="E281" i="12"/>
  <c r="U281" i="12"/>
  <c r="U299" i="12" s="1"/>
  <c r="R281" i="12"/>
  <c r="R294" i="12" s="1"/>
  <c r="G282" i="12"/>
  <c r="G291" i="12"/>
  <c r="G285" i="12"/>
  <c r="G284" i="12"/>
  <c r="H281" i="12"/>
  <c r="G290" i="12"/>
  <c r="G295" i="12"/>
  <c r="S281" i="12"/>
  <c r="S284" i="12" s="1"/>
  <c r="N306" i="12"/>
  <c r="M306" i="17"/>
  <c r="M321" i="17" s="1"/>
  <c r="N306" i="18"/>
  <c r="N318" i="18" s="1"/>
  <c r="P281" i="12"/>
  <c r="P283" i="12" s="1"/>
  <c r="N281" i="12"/>
  <c r="N286" i="12" s="1"/>
  <c r="G298" i="12"/>
  <c r="G296" i="12"/>
  <c r="G299" i="12"/>
  <c r="F281" i="12"/>
  <c r="F294" i="12" s="1"/>
  <c r="P306" i="12"/>
  <c r="P310" i="12" s="1"/>
  <c r="T281" i="12"/>
  <c r="T284" i="12" s="1"/>
  <c r="B245" i="7"/>
  <c r="B261" i="7"/>
  <c r="B258" i="7"/>
  <c r="B255" i="7"/>
  <c r="B252" i="7"/>
  <c r="D281" i="16"/>
  <c r="D283" i="16" s="1"/>
  <c r="G282" i="16"/>
  <c r="G287" i="16"/>
  <c r="G297" i="16"/>
  <c r="M281" i="16"/>
  <c r="B249" i="7"/>
  <c r="B246" i="7"/>
  <c r="B262" i="7"/>
  <c r="B259" i="7"/>
  <c r="L281" i="16"/>
  <c r="G285" i="16"/>
  <c r="G288" i="16"/>
  <c r="C323" i="16"/>
  <c r="K306" i="9"/>
  <c r="K318" i="9" s="1"/>
  <c r="B306" i="19"/>
  <c r="B309" i="19" s="1"/>
  <c r="S306" i="12"/>
  <c r="S318" i="12" s="1"/>
  <c r="Q306" i="12"/>
  <c r="O306" i="17"/>
  <c r="O323" i="17" s="1"/>
  <c r="G306" i="17"/>
  <c r="G323" i="17" s="1"/>
  <c r="D306" i="17"/>
  <c r="D316" i="17" s="1"/>
  <c r="R306" i="17"/>
  <c r="R313" i="17" s="1"/>
  <c r="K306" i="18"/>
  <c r="K317" i="18" s="1"/>
  <c r="D281" i="19"/>
  <c r="D288" i="19" s="1"/>
  <c r="J306" i="12"/>
  <c r="J307" i="12" s="1"/>
  <c r="G306" i="12"/>
  <c r="H306" i="12"/>
  <c r="U306" i="12"/>
  <c r="K306" i="12"/>
  <c r="K307" i="12" s="1"/>
  <c r="G306" i="18"/>
  <c r="G307" i="18" s="1"/>
  <c r="I306" i="12"/>
  <c r="I319" i="12" s="1"/>
  <c r="E306" i="12"/>
  <c r="L306" i="17"/>
  <c r="L307" i="17" s="1"/>
  <c r="K306" i="17"/>
  <c r="K320" i="17" s="1"/>
  <c r="I306" i="19"/>
  <c r="I307" i="19" s="1"/>
  <c r="C306" i="12"/>
  <c r="D306" i="12"/>
  <c r="D321" i="12" s="1"/>
  <c r="F306" i="12"/>
  <c r="M306" i="12"/>
  <c r="M323" i="12" s="1"/>
  <c r="B306" i="12"/>
  <c r="B311" i="12" s="1"/>
  <c r="O306" i="12"/>
  <c r="O313" i="12" s="1"/>
  <c r="K281" i="19"/>
  <c r="K288" i="19" s="1"/>
  <c r="D306" i="18"/>
  <c r="D308" i="18" s="1"/>
  <c r="L306" i="18"/>
  <c r="L320" i="18" s="1"/>
  <c r="E281" i="19"/>
  <c r="E287" i="19" s="1"/>
  <c r="E281" i="16"/>
  <c r="B281" i="16"/>
  <c r="B298" i="16" s="1"/>
  <c r="O281" i="16"/>
  <c r="O288" i="16" s="1"/>
  <c r="C281" i="16"/>
  <c r="G290" i="16"/>
  <c r="G286" i="16"/>
  <c r="G291" i="16"/>
  <c r="G295" i="16"/>
  <c r="C308" i="16"/>
  <c r="G289" i="16"/>
  <c r="N281" i="16"/>
  <c r="H281" i="16"/>
  <c r="I306" i="9"/>
  <c r="G298" i="16"/>
  <c r="J306" i="18"/>
  <c r="J324" i="18" s="1"/>
  <c r="O306" i="19"/>
  <c r="I281" i="16"/>
  <c r="I288" i="16" s="1"/>
  <c r="F281" i="16"/>
  <c r="F282" i="16" s="1"/>
  <c r="G293" i="16"/>
  <c r="G299" i="16"/>
  <c r="G284" i="16"/>
  <c r="C312" i="16"/>
  <c r="D306" i="9"/>
  <c r="D318" i="9" s="1"/>
  <c r="F306" i="9"/>
  <c r="D281" i="12"/>
  <c r="G292" i="12"/>
  <c r="I281" i="12"/>
  <c r="B281" i="12"/>
  <c r="B299" i="12" s="1"/>
  <c r="O281" i="12"/>
  <c r="G294" i="12"/>
  <c r="G286" i="12"/>
  <c r="G287" i="12"/>
  <c r="G300" i="12"/>
  <c r="M281" i="12"/>
  <c r="I281" i="19"/>
  <c r="I299" i="19" s="1"/>
  <c r="B281" i="19"/>
  <c r="B290" i="19" s="1"/>
  <c r="C306" i="18"/>
  <c r="C318" i="18" s="1"/>
  <c r="E306" i="18"/>
  <c r="E313" i="18" s="1"/>
  <c r="C281" i="19"/>
  <c r="C296" i="19" s="1"/>
  <c r="L281" i="19"/>
  <c r="J281" i="19"/>
  <c r="L306" i="19"/>
  <c r="F306" i="19"/>
  <c r="H306" i="19"/>
  <c r="H316" i="19" s="1"/>
  <c r="H281" i="19"/>
  <c r="H286" i="19" s="1"/>
  <c r="C307" i="16"/>
  <c r="C313" i="16"/>
  <c r="O306" i="9"/>
  <c r="O314" i="9" s="1"/>
  <c r="P306" i="9"/>
  <c r="P308" i="9" s="1"/>
  <c r="M306" i="18"/>
  <c r="G281" i="19"/>
  <c r="G286" i="19" s="1"/>
  <c r="D281" i="9"/>
  <c r="D297" i="9" s="1"/>
  <c r="H306" i="18"/>
  <c r="H314" i="18" s="1"/>
  <c r="I306" i="18"/>
  <c r="I323" i="18" s="1"/>
  <c r="N281" i="19"/>
  <c r="N291" i="19" s="1"/>
  <c r="M281" i="19"/>
  <c r="M286" i="19" s="1"/>
  <c r="E306" i="19"/>
  <c r="E321" i="19" s="1"/>
  <c r="J306" i="19"/>
  <c r="K306" i="19"/>
  <c r="K322" i="19" s="1"/>
  <c r="C310" i="16"/>
  <c r="C316" i="16"/>
  <c r="B306" i="9"/>
  <c r="B320" i="9" s="1"/>
  <c r="C306" i="9"/>
  <c r="C318" i="9" s="1"/>
  <c r="G306" i="9"/>
  <c r="G321" i="9" s="1"/>
  <c r="E281" i="9"/>
  <c r="E283" i="9" s="1"/>
  <c r="J293" i="9"/>
  <c r="J289" i="9"/>
  <c r="J298" i="9"/>
  <c r="J283" i="9"/>
  <c r="J287" i="9"/>
  <c r="B280" i="7"/>
  <c r="B273" i="7"/>
  <c r="B288" i="7"/>
  <c r="B272" i="7"/>
  <c r="B275" i="7"/>
  <c r="B278" i="7"/>
  <c r="B281" i="7"/>
  <c r="B284" i="7"/>
  <c r="B287" i="7"/>
  <c r="B271" i="7"/>
  <c r="B274" i="7"/>
  <c r="B277" i="7"/>
  <c r="B283" i="7"/>
  <c r="B286" i="7"/>
  <c r="B270" i="7"/>
  <c r="B276" i="7"/>
  <c r="B279" i="7"/>
  <c r="B282" i="7"/>
  <c r="B285" i="7"/>
  <c r="P281" i="9"/>
  <c r="M281" i="9"/>
  <c r="O281" i="9"/>
  <c r="O285" i="9" s="1"/>
  <c r="E306" i="17"/>
  <c r="H306" i="17"/>
  <c r="I306" i="17"/>
  <c r="I315" i="17" s="1"/>
  <c r="N306" i="17"/>
  <c r="J306" i="17"/>
  <c r="J311" i="17" s="1"/>
  <c r="Q306" i="17"/>
  <c r="D322" i="16"/>
  <c r="D311" i="16"/>
  <c r="G281" i="9"/>
  <c r="G290" i="9" s="1"/>
  <c r="B281" i="9"/>
  <c r="B299" i="9" s="1"/>
  <c r="C281" i="9"/>
  <c r="C298" i="9" s="1"/>
  <c r="L281" i="9"/>
  <c r="L300" i="9" s="1"/>
  <c r="N281" i="9"/>
  <c r="N286" i="9" s="1"/>
  <c r="K281" i="9"/>
  <c r="K283" i="9" s="1"/>
  <c r="B306" i="17"/>
  <c r="B318" i="17" s="1"/>
  <c r="P306" i="17"/>
  <c r="P310" i="17" s="1"/>
  <c r="F281" i="9"/>
  <c r="F299" i="9" s="1"/>
  <c r="H281" i="9"/>
  <c r="I281" i="9"/>
  <c r="F306" i="18"/>
  <c r="P306" i="18"/>
  <c r="B306" i="18"/>
  <c r="N306" i="19"/>
  <c r="N324" i="19" s="1"/>
  <c r="C306" i="19"/>
  <c r="C313" i="19" s="1"/>
  <c r="G306" i="19"/>
  <c r="G321" i="19" s="1"/>
  <c r="H306" i="9"/>
  <c r="H320" i="9" s="1"/>
  <c r="L306" i="9"/>
  <c r="J306" i="9"/>
  <c r="N306" i="9"/>
  <c r="F277" i="12"/>
  <c r="L265" i="9"/>
  <c r="I263" i="9"/>
  <c r="I275" i="9"/>
  <c r="J299" i="9"/>
  <c r="J284" i="9"/>
  <c r="L272" i="9"/>
  <c r="I270" i="9"/>
  <c r="I258" i="9"/>
  <c r="J285" i="9"/>
  <c r="J297" i="9"/>
  <c r="J269" i="16"/>
  <c r="N274" i="16"/>
  <c r="K263" i="16"/>
  <c r="K268" i="16"/>
  <c r="J268" i="16"/>
  <c r="B257" i="16"/>
  <c r="J264" i="16"/>
  <c r="J258" i="16"/>
  <c r="J270" i="16"/>
  <c r="J275" i="16"/>
  <c r="B263" i="16"/>
  <c r="N267" i="16"/>
  <c r="J260" i="16"/>
  <c r="F264" i="16"/>
  <c r="F257" i="16"/>
  <c r="F258" i="16"/>
  <c r="F273" i="16"/>
  <c r="F269" i="16"/>
  <c r="K260" i="16"/>
  <c r="K269" i="16"/>
  <c r="G269" i="16"/>
  <c r="G264" i="16"/>
  <c r="G265" i="16"/>
  <c r="G266" i="16"/>
  <c r="G275" i="16"/>
  <c r="J273" i="16"/>
  <c r="J267" i="16"/>
  <c r="N260" i="16"/>
  <c r="J262" i="16"/>
  <c r="J259" i="16"/>
  <c r="J272" i="16"/>
  <c r="B272" i="16"/>
  <c r="N261" i="16"/>
  <c r="F275" i="16"/>
  <c r="F265" i="16"/>
  <c r="F262" i="16"/>
  <c r="F259" i="16"/>
  <c r="K261" i="16"/>
  <c r="K271" i="16"/>
  <c r="G259" i="16"/>
  <c r="G268" i="16"/>
  <c r="G274" i="16"/>
  <c r="F259" i="19"/>
  <c r="D272" i="19"/>
  <c r="F264" i="19"/>
  <c r="D262" i="19"/>
  <c r="F274" i="19"/>
  <c r="D270" i="19"/>
  <c r="P258" i="18"/>
  <c r="P265" i="18"/>
  <c r="J271" i="18"/>
  <c r="J273" i="18"/>
  <c r="P273" i="18"/>
  <c r="P263" i="18"/>
  <c r="C259" i="18"/>
  <c r="H272" i="18"/>
  <c r="H269" i="18"/>
  <c r="N259" i="18"/>
  <c r="N273" i="18"/>
  <c r="M274" i="18"/>
  <c r="M263" i="18"/>
  <c r="K260" i="18"/>
  <c r="P259" i="18"/>
  <c r="P271" i="18"/>
  <c r="K258" i="18"/>
  <c r="P257" i="18"/>
  <c r="P261" i="18"/>
  <c r="K274" i="18"/>
  <c r="P262" i="18"/>
  <c r="P275" i="18"/>
  <c r="C265" i="18"/>
  <c r="H265" i="18"/>
  <c r="N267" i="18"/>
  <c r="N269" i="18"/>
  <c r="N274" i="18"/>
  <c r="M270" i="18"/>
  <c r="M266" i="18"/>
  <c r="M275" i="18"/>
  <c r="D264" i="18"/>
  <c r="J261" i="18"/>
  <c r="J274" i="18"/>
  <c r="D265" i="18"/>
  <c r="D258" i="18"/>
  <c r="D271" i="18"/>
  <c r="K267" i="18"/>
  <c r="P269" i="18"/>
  <c r="P266" i="18"/>
  <c r="P274" i="18"/>
  <c r="C269" i="18"/>
  <c r="C267" i="18"/>
  <c r="H262" i="18"/>
  <c r="J259" i="18"/>
  <c r="K263" i="18"/>
  <c r="H275" i="18"/>
  <c r="H268" i="18"/>
  <c r="N268" i="18"/>
  <c r="N257" i="18"/>
  <c r="N258" i="18"/>
  <c r="G263" i="18"/>
  <c r="G261" i="18"/>
  <c r="G270" i="18"/>
  <c r="M261" i="18"/>
  <c r="M273" i="18"/>
  <c r="M269" i="18"/>
  <c r="F260" i="18"/>
  <c r="F271" i="18"/>
  <c r="I264" i="9"/>
  <c r="I257" i="9"/>
  <c r="I274" i="9"/>
  <c r="J286" i="9"/>
  <c r="J288" i="9"/>
  <c r="L262" i="9"/>
  <c r="E274" i="9"/>
  <c r="E271" i="9"/>
  <c r="E257" i="9"/>
  <c r="E258" i="9"/>
  <c r="E272" i="9"/>
  <c r="E260" i="9"/>
  <c r="E264" i="9"/>
  <c r="E261" i="9"/>
  <c r="E262" i="9"/>
  <c r="L264" i="9"/>
  <c r="E259" i="9"/>
  <c r="E268" i="9"/>
  <c r="E270" i="9"/>
  <c r="E265" i="9"/>
  <c r="H263" i="16"/>
  <c r="D316" i="16"/>
  <c r="D324" i="16"/>
  <c r="B264" i="16"/>
  <c r="B258" i="16"/>
  <c r="B274" i="16"/>
  <c r="B267" i="16"/>
  <c r="H273" i="16"/>
  <c r="H272" i="16"/>
  <c r="H257" i="16"/>
  <c r="C273" i="16"/>
  <c r="C261" i="16"/>
  <c r="D313" i="16"/>
  <c r="D259" i="16"/>
  <c r="B269" i="16"/>
  <c r="H259" i="16"/>
  <c r="D309" i="16"/>
  <c r="D312" i="16"/>
  <c r="C315" i="16"/>
  <c r="C311" i="16"/>
  <c r="C317" i="16"/>
  <c r="C318" i="16"/>
  <c r="C324" i="16"/>
  <c r="B262" i="16"/>
  <c r="B265" i="16"/>
  <c r="B270" i="16"/>
  <c r="D260" i="16"/>
  <c r="D272" i="16"/>
  <c r="D265" i="16"/>
  <c r="H262" i="16"/>
  <c r="D263" i="16"/>
  <c r="D262" i="16"/>
  <c r="H260" i="16"/>
  <c r="H265" i="16"/>
  <c r="C267" i="16"/>
  <c r="C258" i="16"/>
  <c r="M259" i="16"/>
  <c r="M264" i="16"/>
  <c r="M273" i="16"/>
  <c r="M269" i="16"/>
  <c r="M266" i="16"/>
  <c r="B268" i="16"/>
  <c r="D310" i="16"/>
  <c r="D318" i="16"/>
  <c r="C314" i="16"/>
  <c r="C322" i="16"/>
  <c r="C309" i="16"/>
  <c r="C319" i="16"/>
  <c r="C325" i="16"/>
  <c r="N258" i="16"/>
  <c r="B266" i="16"/>
  <c r="B259" i="16"/>
  <c r="B273" i="16"/>
  <c r="N268" i="16"/>
  <c r="N275" i="16"/>
  <c r="D264" i="16"/>
  <c r="D275" i="16"/>
  <c r="D271" i="16"/>
  <c r="H268" i="16"/>
  <c r="H274" i="16"/>
  <c r="C268" i="16"/>
  <c r="C266" i="16"/>
  <c r="M267" i="16"/>
  <c r="M274" i="16"/>
  <c r="M257" i="16"/>
  <c r="M272" i="16"/>
  <c r="K274" i="16"/>
  <c r="K262" i="16"/>
  <c r="O260" i="19"/>
  <c r="O271" i="19"/>
  <c r="O273" i="19"/>
  <c r="O257" i="19"/>
  <c r="O272" i="19"/>
  <c r="C266" i="19"/>
  <c r="C267" i="19"/>
  <c r="C268" i="19"/>
  <c r="C265" i="19"/>
  <c r="K260" i="19"/>
  <c r="K261" i="19"/>
  <c r="K262" i="19"/>
  <c r="K259" i="19"/>
  <c r="K274" i="19"/>
  <c r="O262" i="19"/>
  <c r="O259" i="19"/>
  <c r="O264" i="19"/>
  <c r="O261" i="19"/>
  <c r="O274" i="19"/>
  <c r="C258" i="19"/>
  <c r="C270" i="19"/>
  <c r="C271" i="19"/>
  <c r="C275" i="19"/>
  <c r="C269" i="19"/>
  <c r="K264" i="19"/>
  <c r="K265" i="19"/>
  <c r="K266" i="19"/>
  <c r="K263" i="19"/>
  <c r="K272" i="19"/>
  <c r="H264" i="19"/>
  <c r="H261" i="19"/>
  <c r="H266" i="19"/>
  <c r="H267" i="19"/>
  <c r="O266" i="19"/>
  <c r="O263" i="19"/>
  <c r="O268" i="19"/>
  <c r="C260" i="19"/>
  <c r="C259" i="19"/>
  <c r="C273" i="19"/>
  <c r="C257" i="19"/>
  <c r="F265" i="19"/>
  <c r="K268" i="19"/>
  <c r="K269" i="19"/>
  <c r="K270" i="19"/>
  <c r="H260" i="19"/>
  <c r="H268" i="19"/>
  <c r="H265" i="19"/>
  <c r="H270" i="19"/>
  <c r="D261" i="19"/>
  <c r="S277" i="12"/>
  <c r="J277" i="12"/>
  <c r="C277" i="12"/>
  <c r="C220" i="16"/>
  <c r="N290" i="18"/>
  <c r="G296" i="18"/>
  <c r="G290" i="18"/>
  <c r="G289" i="18"/>
  <c r="G287" i="18"/>
  <c r="G297" i="18"/>
  <c r="G285" i="18"/>
  <c r="G298" i="18"/>
  <c r="G292" i="18"/>
  <c r="G282" i="18"/>
  <c r="G299" i="18"/>
  <c r="F272" i="18"/>
  <c r="F268" i="18"/>
  <c r="F274" i="18"/>
  <c r="F273" i="18"/>
  <c r="G284" i="18"/>
  <c r="G283" i="18"/>
  <c r="G295" i="18"/>
  <c r="C270" i="18"/>
  <c r="J260" i="18"/>
  <c r="J268" i="18"/>
  <c r="J265" i="18"/>
  <c r="J266" i="18"/>
  <c r="K275" i="18"/>
  <c r="K265" i="18"/>
  <c r="C272" i="18"/>
  <c r="C268" i="18"/>
  <c r="C274" i="18"/>
  <c r="G273" i="18"/>
  <c r="G272" i="18"/>
  <c r="G265" i="18"/>
  <c r="G262" i="18"/>
  <c r="G274" i="18"/>
  <c r="F264" i="18"/>
  <c r="F257" i="18"/>
  <c r="F258" i="18"/>
  <c r="F259" i="18"/>
  <c r="F267" i="18"/>
  <c r="J269" i="18"/>
  <c r="G294" i="18"/>
  <c r="G293" i="18"/>
  <c r="G286" i="18"/>
  <c r="G291" i="18"/>
  <c r="G300" i="18"/>
  <c r="C261" i="18"/>
  <c r="J257" i="18"/>
  <c r="J258" i="18"/>
  <c r="J270" i="18"/>
  <c r="K271" i="18"/>
  <c r="C262" i="18"/>
  <c r="C263" i="18"/>
  <c r="C275" i="18"/>
  <c r="J264" i="18"/>
  <c r="G260" i="18"/>
  <c r="G264" i="18"/>
  <c r="G257" i="18"/>
  <c r="G271" i="18"/>
  <c r="F261" i="18"/>
  <c r="F269" i="18"/>
  <c r="F266" i="18"/>
  <c r="F270" i="18"/>
  <c r="N287" i="18"/>
  <c r="N284" i="18"/>
  <c r="N289" i="18"/>
  <c r="N298" i="18"/>
  <c r="R272" i="12"/>
  <c r="R274" i="12"/>
  <c r="R271" i="12"/>
  <c r="R268" i="12"/>
  <c r="R264" i="12"/>
  <c r="R260" i="12"/>
  <c r="R275" i="12"/>
  <c r="R267" i="12"/>
  <c r="R263" i="12"/>
  <c r="R259" i="12"/>
  <c r="R261" i="12"/>
  <c r="R273" i="12"/>
  <c r="R269" i="12"/>
  <c r="R266" i="12"/>
  <c r="R258" i="12"/>
  <c r="R265" i="12"/>
  <c r="R257" i="12"/>
  <c r="R270" i="12"/>
  <c r="R262" i="12"/>
  <c r="B272" i="12"/>
  <c r="B275" i="12"/>
  <c r="B268" i="12"/>
  <c r="B264" i="12"/>
  <c r="B260" i="12"/>
  <c r="B267" i="12"/>
  <c r="B263" i="12"/>
  <c r="B259" i="12"/>
  <c r="B273" i="12"/>
  <c r="B270" i="12"/>
  <c r="B274" i="12"/>
  <c r="B265" i="12"/>
  <c r="B257" i="12"/>
  <c r="B271" i="12"/>
  <c r="B261" i="12"/>
  <c r="B266" i="12"/>
  <c r="B262" i="12"/>
  <c r="B269" i="12"/>
  <c r="B258" i="12"/>
  <c r="K272" i="12"/>
  <c r="K268" i="12"/>
  <c r="K264" i="12"/>
  <c r="K260" i="12"/>
  <c r="K273" i="12"/>
  <c r="K267" i="12"/>
  <c r="K263" i="12"/>
  <c r="K259" i="12"/>
  <c r="K274" i="12"/>
  <c r="K271" i="12"/>
  <c r="K270" i="12"/>
  <c r="K269" i="12"/>
  <c r="K261" i="12"/>
  <c r="K257" i="12"/>
  <c r="K262" i="12"/>
  <c r="K275" i="12"/>
  <c r="K266" i="12"/>
  <c r="K258" i="12"/>
  <c r="K265" i="12"/>
  <c r="O272" i="12"/>
  <c r="O275" i="12"/>
  <c r="O268" i="12"/>
  <c r="O264" i="12"/>
  <c r="O260" i="12"/>
  <c r="O267" i="12"/>
  <c r="O263" i="12"/>
  <c r="O259" i="12"/>
  <c r="O273" i="12"/>
  <c r="O270" i="12"/>
  <c r="O265" i="12"/>
  <c r="O257" i="12"/>
  <c r="O269" i="12"/>
  <c r="O261" i="12"/>
  <c r="O271" i="12"/>
  <c r="O266" i="12"/>
  <c r="O258" i="12"/>
  <c r="O274" i="12"/>
  <c r="O262" i="12"/>
  <c r="L263" i="9"/>
  <c r="L275" i="9"/>
  <c r="L271" i="9"/>
  <c r="L266" i="9"/>
  <c r="I259" i="9"/>
  <c r="I260" i="9"/>
  <c r="I261" i="9"/>
  <c r="I262" i="9"/>
  <c r="I272" i="9"/>
  <c r="J282" i="9"/>
  <c r="J295" i="9"/>
  <c r="J291" i="9"/>
  <c r="J292" i="9"/>
  <c r="L259" i="9"/>
  <c r="L269" i="9"/>
  <c r="L257" i="9"/>
  <c r="L274" i="9"/>
  <c r="L270" i="9"/>
  <c r="O277" i="9"/>
  <c r="B277" i="9"/>
  <c r="I267" i="9"/>
  <c r="I268" i="9"/>
  <c r="I265" i="9"/>
  <c r="J296" i="9"/>
  <c r="J290" i="9"/>
  <c r="J300" i="9"/>
  <c r="J294" i="9"/>
  <c r="L260" i="9"/>
  <c r="L267" i="9"/>
  <c r="L261" i="9"/>
  <c r="L258" i="9"/>
  <c r="F275" i="9"/>
  <c r="F271" i="9"/>
  <c r="F272" i="9"/>
  <c r="F269" i="9"/>
  <c r="F265" i="9"/>
  <c r="F261" i="9"/>
  <c r="F257" i="9"/>
  <c r="F273" i="9"/>
  <c r="F270" i="9"/>
  <c r="F268" i="9"/>
  <c r="F264" i="9"/>
  <c r="F260" i="9"/>
  <c r="F274" i="9"/>
  <c r="F263" i="9"/>
  <c r="F258" i="9"/>
  <c r="F262" i="9"/>
  <c r="F267" i="9"/>
  <c r="F259" i="9"/>
  <c r="F266" i="9"/>
  <c r="D274" i="9"/>
  <c r="D270" i="9"/>
  <c r="D268" i="9"/>
  <c r="D264" i="9"/>
  <c r="D260" i="9"/>
  <c r="D271" i="9"/>
  <c r="D267" i="9"/>
  <c r="D263" i="9"/>
  <c r="D259" i="9"/>
  <c r="D275" i="9"/>
  <c r="D272" i="9"/>
  <c r="D273" i="9"/>
  <c r="D266" i="9"/>
  <c r="D258" i="9"/>
  <c r="D269" i="9"/>
  <c r="D265" i="9"/>
  <c r="D257" i="9"/>
  <c r="D262" i="9"/>
  <c r="D261" i="9"/>
  <c r="P275" i="9"/>
  <c r="P271" i="9"/>
  <c r="P273" i="9"/>
  <c r="P270" i="9"/>
  <c r="P265" i="9"/>
  <c r="P261" i="9"/>
  <c r="P257" i="9"/>
  <c r="P274" i="9"/>
  <c r="P268" i="9"/>
  <c r="P264" i="9"/>
  <c r="P260" i="9"/>
  <c r="P269" i="9"/>
  <c r="P267" i="9"/>
  <c r="P259" i="9"/>
  <c r="P262" i="9"/>
  <c r="P266" i="9"/>
  <c r="P258" i="9"/>
  <c r="P272" i="9"/>
  <c r="P263" i="9"/>
  <c r="M275" i="9"/>
  <c r="M271" i="9"/>
  <c r="M274" i="9"/>
  <c r="M265" i="9"/>
  <c r="M261" i="9"/>
  <c r="M257" i="9"/>
  <c r="M268" i="9"/>
  <c r="M264" i="9"/>
  <c r="M260" i="9"/>
  <c r="M272" i="9"/>
  <c r="M269" i="9"/>
  <c r="M270" i="9"/>
  <c r="M263" i="9"/>
  <c r="M262" i="9"/>
  <c r="M273" i="9"/>
  <c r="M267" i="9"/>
  <c r="M259" i="9"/>
  <c r="M266" i="9"/>
  <c r="M258" i="9"/>
  <c r="N274" i="9"/>
  <c r="N270" i="9"/>
  <c r="N271" i="9"/>
  <c r="N268" i="9"/>
  <c r="N264" i="9"/>
  <c r="N260" i="9"/>
  <c r="N275" i="9"/>
  <c r="N272" i="9"/>
  <c r="N269" i="9"/>
  <c r="N267" i="9"/>
  <c r="N263" i="9"/>
  <c r="N259" i="9"/>
  <c r="N273" i="9"/>
  <c r="N262" i="9"/>
  <c r="N257" i="9"/>
  <c r="N261" i="9"/>
  <c r="N266" i="9"/>
  <c r="N258" i="9"/>
  <c r="N265" i="9"/>
  <c r="C275" i="9"/>
  <c r="C271" i="9"/>
  <c r="C273" i="9"/>
  <c r="C270" i="9"/>
  <c r="C269" i="9"/>
  <c r="C265" i="9"/>
  <c r="C261" i="9"/>
  <c r="C257" i="9"/>
  <c r="C274" i="9"/>
  <c r="C268" i="9"/>
  <c r="C264" i="9"/>
  <c r="C260" i="9"/>
  <c r="C267" i="9"/>
  <c r="C259" i="9"/>
  <c r="C262" i="9"/>
  <c r="C272" i="9"/>
  <c r="C266" i="9"/>
  <c r="C258" i="9"/>
  <c r="C263" i="9"/>
  <c r="J275" i="9"/>
  <c r="J271" i="9"/>
  <c r="J265" i="9"/>
  <c r="J261" i="9"/>
  <c r="J257" i="9"/>
  <c r="J272" i="9"/>
  <c r="J269" i="9"/>
  <c r="J268" i="9"/>
  <c r="J264" i="9"/>
  <c r="J260" i="9"/>
  <c r="J273" i="9"/>
  <c r="J270" i="9"/>
  <c r="J267" i="9"/>
  <c r="J259" i="9"/>
  <c r="J266" i="9"/>
  <c r="J258" i="9"/>
  <c r="J274" i="9"/>
  <c r="J263" i="9"/>
  <c r="J262" i="9"/>
  <c r="G274" i="9"/>
  <c r="G270" i="9"/>
  <c r="G273" i="9"/>
  <c r="G268" i="9"/>
  <c r="G264" i="9"/>
  <c r="G260" i="9"/>
  <c r="G267" i="9"/>
  <c r="G263" i="9"/>
  <c r="G259" i="9"/>
  <c r="G271" i="9"/>
  <c r="G272" i="9"/>
  <c r="G262" i="9"/>
  <c r="G261" i="9"/>
  <c r="G275" i="9"/>
  <c r="G269" i="9"/>
  <c r="G266" i="9"/>
  <c r="G258" i="9"/>
  <c r="G265" i="9"/>
  <c r="G257" i="9"/>
  <c r="C220" i="9"/>
  <c r="K274" i="9"/>
  <c r="K270" i="9"/>
  <c r="K275" i="9"/>
  <c r="K272" i="9"/>
  <c r="K269" i="9"/>
  <c r="K268" i="9"/>
  <c r="K264" i="9"/>
  <c r="K260" i="9"/>
  <c r="K273" i="9"/>
  <c r="K267" i="9"/>
  <c r="K263" i="9"/>
  <c r="K259" i="9"/>
  <c r="K271" i="9"/>
  <c r="K266" i="9"/>
  <c r="K258" i="9"/>
  <c r="K261" i="9"/>
  <c r="K265" i="9"/>
  <c r="K257" i="9"/>
  <c r="K262" i="9"/>
  <c r="D325" i="16"/>
  <c r="D321" i="16"/>
  <c r="D320" i="16"/>
  <c r="D315" i="16"/>
  <c r="D317" i="16"/>
  <c r="D323" i="16"/>
  <c r="H258" i="16"/>
  <c r="N264" i="16"/>
  <c r="N257" i="16"/>
  <c r="N272" i="16"/>
  <c r="N271" i="16"/>
  <c r="H275" i="16"/>
  <c r="H271" i="16"/>
  <c r="H261" i="16"/>
  <c r="C263" i="16"/>
  <c r="C264" i="16"/>
  <c r="C269" i="16"/>
  <c r="C265" i="16"/>
  <c r="C274" i="16"/>
  <c r="K259" i="16"/>
  <c r="K267" i="16"/>
  <c r="K265" i="16"/>
  <c r="K258" i="16"/>
  <c r="K272" i="16"/>
  <c r="N263" i="16"/>
  <c r="D314" i="16"/>
  <c r="D307" i="16"/>
  <c r="D308" i="16"/>
  <c r="N273" i="16"/>
  <c r="N265" i="16"/>
  <c r="N270" i="16"/>
  <c r="N262" i="16"/>
  <c r="N259" i="16"/>
  <c r="H266" i="16"/>
  <c r="H264" i="16"/>
  <c r="H269" i="16"/>
  <c r="C270" i="16"/>
  <c r="C260" i="16"/>
  <c r="C257" i="16"/>
  <c r="C262" i="16"/>
  <c r="K264" i="16"/>
  <c r="K257" i="16"/>
  <c r="K273" i="16"/>
  <c r="K266" i="16"/>
  <c r="M320" i="16"/>
  <c r="M325" i="16"/>
  <c r="M323" i="16"/>
  <c r="M319" i="16"/>
  <c r="M324" i="16"/>
  <c r="M322" i="16"/>
  <c r="M317" i="16"/>
  <c r="M313" i="16"/>
  <c r="M309" i="16"/>
  <c r="M321" i="16"/>
  <c r="M312" i="16"/>
  <c r="M308" i="16"/>
  <c r="M315" i="16"/>
  <c r="M307" i="16"/>
  <c r="M314" i="16"/>
  <c r="M311" i="16"/>
  <c r="M318" i="16"/>
  <c r="M310" i="16"/>
  <c r="M316" i="16"/>
  <c r="L273" i="16"/>
  <c r="L269" i="16"/>
  <c r="L270" i="16"/>
  <c r="L268" i="16"/>
  <c r="L264" i="16"/>
  <c r="L260" i="16"/>
  <c r="L274" i="16"/>
  <c r="L271" i="16"/>
  <c r="L267" i="16"/>
  <c r="L263" i="16"/>
  <c r="L259" i="16"/>
  <c r="L275" i="16"/>
  <c r="L272" i="16"/>
  <c r="L266" i="16"/>
  <c r="L265" i="16"/>
  <c r="L258" i="16"/>
  <c r="L262" i="16"/>
  <c r="L261" i="16"/>
  <c r="L257" i="16"/>
  <c r="J325" i="16"/>
  <c r="J324" i="16"/>
  <c r="J321" i="16"/>
  <c r="J320" i="16"/>
  <c r="J316" i="16"/>
  <c r="J319" i="16"/>
  <c r="J317" i="16"/>
  <c r="J314" i="16"/>
  <c r="J310" i="16"/>
  <c r="J318" i="16"/>
  <c r="J313" i="16"/>
  <c r="J309" i="16"/>
  <c r="J323" i="16"/>
  <c r="J312" i="16"/>
  <c r="J311" i="16"/>
  <c r="J308" i="16"/>
  <c r="J315" i="16"/>
  <c r="J307" i="16"/>
  <c r="J322" i="16"/>
  <c r="H325" i="16"/>
  <c r="H323" i="16"/>
  <c r="H319" i="16"/>
  <c r="H322" i="16"/>
  <c r="H318" i="16"/>
  <c r="H321" i="16"/>
  <c r="H316" i="16"/>
  <c r="H312" i="16"/>
  <c r="H308" i="16"/>
  <c r="H320" i="16"/>
  <c r="H317" i="16"/>
  <c r="H315" i="16"/>
  <c r="H311" i="16"/>
  <c r="H307" i="16"/>
  <c r="H314" i="16"/>
  <c r="H313" i="16"/>
  <c r="H310" i="16"/>
  <c r="H324" i="16"/>
  <c r="H309" i="16"/>
  <c r="I325" i="16"/>
  <c r="I322" i="16"/>
  <c r="I318" i="16"/>
  <c r="I321" i="16"/>
  <c r="I317" i="16"/>
  <c r="I320" i="16"/>
  <c r="I315" i="16"/>
  <c r="I311" i="16"/>
  <c r="I307" i="16"/>
  <c r="I319" i="16"/>
  <c r="I314" i="16"/>
  <c r="I310" i="16"/>
  <c r="I313" i="16"/>
  <c r="I323" i="16"/>
  <c r="I316" i="16"/>
  <c r="I312" i="16"/>
  <c r="I324" i="16"/>
  <c r="I308" i="16"/>
  <c r="I309" i="16"/>
  <c r="E273" i="16"/>
  <c r="E269" i="16"/>
  <c r="E275" i="16"/>
  <c r="E272" i="16"/>
  <c r="E268" i="16"/>
  <c r="E264" i="16"/>
  <c r="E260" i="16"/>
  <c r="E266" i="16"/>
  <c r="E267" i="16"/>
  <c r="E263" i="16"/>
  <c r="E259" i="16"/>
  <c r="E270" i="16"/>
  <c r="E271" i="16"/>
  <c r="E258" i="16"/>
  <c r="E274" i="16"/>
  <c r="E265" i="16"/>
  <c r="E257" i="16"/>
  <c r="E262" i="16"/>
  <c r="E261" i="16"/>
  <c r="F321" i="16"/>
  <c r="F324" i="16"/>
  <c r="F320" i="16"/>
  <c r="F316" i="16"/>
  <c r="F323" i="16"/>
  <c r="F314" i="16"/>
  <c r="F310" i="16"/>
  <c r="F322" i="16"/>
  <c r="F313" i="16"/>
  <c r="F309" i="16"/>
  <c r="F308" i="16"/>
  <c r="F318" i="16"/>
  <c r="F317" i="16"/>
  <c r="F315" i="16"/>
  <c r="F307" i="16"/>
  <c r="F319" i="16"/>
  <c r="F312" i="16"/>
  <c r="F325" i="16"/>
  <c r="F311" i="16"/>
  <c r="K320" i="16"/>
  <c r="K324" i="16"/>
  <c r="K323" i="16"/>
  <c r="K319" i="16"/>
  <c r="K318" i="16"/>
  <c r="K313" i="16"/>
  <c r="K309" i="16"/>
  <c r="K325" i="16"/>
  <c r="K312" i="16"/>
  <c r="K308" i="16"/>
  <c r="K316" i="16"/>
  <c r="K311" i="16"/>
  <c r="K321" i="16"/>
  <c r="K310" i="16"/>
  <c r="K315" i="16"/>
  <c r="K322" i="16"/>
  <c r="K307" i="16"/>
  <c r="K317" i="16"/>
  <c r="K314" i="16"/>
  <c r="E325" i="16"/>
  <c r="E322" i="16"/>
  <c r="E318" i="16"/>
  <c r="E321" i="16"/>
  <c r="E317" i="16"/>
  <c r="E324" i="16"/>
  <c r="E315" i="16"/>
  <c r="E311" i="16"/>
  <c r="E307" i="16"/>
  <c r="E323" i="16"/>
  <c r="E314" i="16"/>
  <c r="E310" i="16"/>
  <c r="E320" i="16"/>
  <c r="E309" i="16"/>
  <c r="E308" i="16"/>
  <c r="E316" i="16"/>
  <c r="E319" i="16"/>
  <c r="E312" i="16"/>
  <c r="E313" i="16"/>
  <c r="I273" i="16"/>
  <c r="I269" i="16"/>
  <c r="I274" i="16"/>
  <c r="I271" i="16"/>
  <c r="I268" i="16"/>
  <c r="I264" i="16"/>
  <c r="I260" i="16"/>
  <c r="I275" i="16"/>
  <c r="I272" i="16"/>
  <c r="I267" i="16"/>
  <c r="I263" i="16"/>
  <c r="I259" i="16"/>
  <c r="I266" i="16"/>
  <c r="I270" i="16"/>
  <c r="I262" i="16"/>
  <c r="I258" i="16"/>
  <c r="I265" i="16"/>
  <c r="I261" i="16"/>
  <c r="I257" i="16"/>
  <c r="G324" i="16"/>
  <c r="G320" i="16"/>
  <c r="G325" i="16"/>
  <c r="G323" i="16"/>
  <c r="G319" i="16"/>
  <c r="G322" i="16"/>
  <c r="G313" i="16"/>
  <c r="G309" i="16"/>
  <c r="G321" i="16"/>
  <c r="G316" i="16"/>
  <c r="G312" i="16"/>
  <c r="G308" i="16"/>
  <c r="G318" i="16"/>
  <c r="G317" i="16"/>
  <c r="G315" i="16"/>
  <c r="G307" i="16"/>
  <c r="G314" i="16"/>
  <c r="G310" i="16"/>
  <c r="G311" i="16"/>
  <c r="N325" i="16"/>
  <c r="N323" i="16"/>
  <c r="N319" i="16"/>
  <c r="N324" i="16"/>
  <c r="N322" i="16"/>
  <c r="N318" i="16"/>
  <c r="N321" i="16"/>
  <c r="N312" i="16"/>
  <c r="N308" i="16"/>
  <c r="N320" i="16"/>
  <c r="N315" i="16"/>
  <c r="N311" i="16"/>
  <c r="N307" i="16"/>
  <c r="N314" i="16"/>
  <c r="N317" i="16"/>
  <c r="N313" i="16"/>
  <c r="N309" i="16"/>
  <c r="N316" i="16"/>
  <c r="N310" i="16"/>
  <c r="L325" i="16"/>
  <c r="L322" i="16"/>
  <c r="L318" i="16"/>
  <c r="L321" i="16"/>
  <c r="L317" i="16"/>
  <c r="L316" i="16"/>
  <c r="L315" i="16"/>
  <c r="L311" i="16"/>
  <c r="L307" i="16"/>
  <c r="L324" i="16"/>
  <c r="L323" i="16"/>
  <c r="L314" i="16"/>
  <c r="L310" i="16"/>
  <c r="L309" i="16"/>
  <c r="L319" i="16"/>
  <c r="L308" i="16"/>
  <c r="L320" i="16"/>
  <c r="L313" i="16"/>
  <c r="L312" i="16"/>
  <c r="B321" i="16"/>
  <c r="B325" i="16"/>
  <c r="B324" i="16"/>
  <c r="B320" i="16"/>
  <c r="B316" i="16"/>
  <c r="B319" i="16"/>
  <c r="B314" i="16"/>
  <c r="B310" i="16"/>
  <c r="B318" i="16"/>
  <c r="B313" i="16"/>
  <c r="B309" i="16"/>
  <c r="B312" i="16"/>
  <c r="B322" i="16"/>
  <c r="B311" i="16"/>
  <c r="B323" i="16"/>
  <c r="B317" i="16"/>
  <c r="B307" i="16"/>
  <c r="B308" i="16"/>
  <c r="B315" i="16"/>
  <c r="O325" i="16"/>
  <c r="O324" i="16"/>
  <c r="O321" i="16"/>
  <c r="O320" i="16"/>
  <c r="O316" i="16"/>
  <c r="O319" i="16"/>
  <c r="O314" i="16"/>
  <c r="O310" i="16"/>
  <c r="O318" i="16"/>
  <c r="O313" i="16"/>
  <c r="O309" i="16"/>
  <c r="O317" i="16"/>
  <c r="O312" i="16"/>
  <c r="O322" i="16"/>
  <c r="O311" i="16"/>
  <c r="O307" i="16"/>
  <c r="O323" i="16"/>
  <c r="O308" i="16"/>
  <c r="O315" i="16"/>
  <c r="F266" i="19"/>
  <c r="F263" i="19"/>
  <c r="F268" i="19"/>
  <c r="F269" i="19"/>
  <c r="D264" i="19"/>
  <c r="D265" i="19"/>
  <c r="D273" i="19"/>
  <c r="D271" i="19"/>
  <c r="F258" i="19"/>
  <c r="F270" i="19"/>
  <c r="F267" i="19"/>
  <c r="F257" i="19"/>
  <c r="F273" i="19"/>
  <c r="D258" i="19"/>
  <c r="D268" i="19"/>
  <c r="D269" i="19"/>
  <c r="D259" i="19"/>
  <c r="D275" i="19"/>
  <c r="B269" i="19"/>
  <c r="B259" i="19"/>
  <c r="F260" i="19"/>
  <c r="F275" i="19"/>
  <c r="F271" i="19"/>
  <c r="F261" i="19"/>
  <c r="D260" i="19"/>
  <c r="D257" i="19"/>
  <c r="D266" i="19"/>
  <c r="D263" i="19"/>
  <c r="G273" i="19"/>
  <c r="G275" i="19"/>
  <c r="G272" i="19"/>
  <c r="G268" i="19"/>
  <c r="G264" i="19"/>
  <c r="G260" i="19"/>
  <c r="G271" i="19"/>
  <c r="G267" i="19"/>
  <c r="G263" i="19"/>
  <c r="G270" i="19"/>
  <c r="G266" i="19"/>
  <c r="G262" i="19"/>
  <c r="G258" i="19"/>
  <c r="G274" i="19"/>
  <c r="G269" i="19"/>
  <c r="G265" i="19"/>
  <c r="G259" i="19"/>
  <c r="G257" i="19"/>
  <c r="G261" i="19"/>
  <c r="N275" i="19"/>
  <c r="N271" i="19"/>
  <c r="N273" i="19"/>
  <c r="N270" i="19"/>
  <c r="N266" i="19"/>
  <c r="N262" i="19"/>
  <c r="N258" i="19"/>
  <c r="N269" i="19"/>
  <c r="N265" i="19"/>
  <c r="N274" i="19"/>
  <c r="N268" i="19"/>
  <c r="N264" i="19"/>
  <c r="N260" i="19"/>
  <c r="N272" i="19"/>
  <c r="N267" i="19"/>
  <c r="N263" i="19"/>
  <c r="N257" i="19"/>
  <c r="N259" i="19"/>
  <c r="N261" i="19"/>
  <c r="E275" i="19"/>
  <c r="E273" i="19"/>
  <c r="E274" i="19"/>
  <c r="E270" i="19"/>
  <c r="E266" i="19"/>
  <c r="E262" i="19"/>
  <c r="E258" i="19"/>
  <c r="E272" i="19"/>
  <c r="E269" i="19"/>
  <c r="E265" i="19"/>
  <c r="E268" i="19"/>
  <c r="E264" i="19"/>
  <c r="E260" i="19"/>
  <c r="E271" i="19"/>
  <c r="E267" i="19"/>
  <c r="E263" i="19"/>
  <c r="E261" i="19"/>
  <c r="E259" i="19"/>
  <c r="E257" i="19"/>
  <c r="I275" i="19"/>
  <c r="I271" i="19"/>
  <c r="I273" i="19"/>
  <c r="I270" i="19"/>
  <c r="I266" i="19"/>
  <c r="I262" i="19"/>
  <c r="I258" i="19"/>
  <c r="I269" i="19"/>
  <c r="I265" i="19"/>
  <c r="I274" i="19"/>
  <c r="I268" i="19"/>
  <c r="I264" i="19"/>
  <c r="I260" i="19"/>
  <c r="I272" i="19"/>
  <c r="I267" i="19"/>
  <c r="I263" i="19"/>
  <c r="I257" i="19"/>
  <c r="I261" i="19"/>
  <c r="I259" i="19"/>
  <c r="D315" i="19"/>
  <c r="M273" i="19"/>
  <c r="M275" i="19"/>
  <c r="M271" i="19"/>
  <c r="M272" i="19"/>
  <c r="M268" i="19"/>
  <c r="M264" i="19"/>
  <c r="M260" i="19"/>
  <c r="M267" i="19"/>
  <c r="M263" i="19"/>
  <c r="M270" i="19"/>
  <c r="M266" i="19"/>
  <c r="M262" i="19"/>
  <c r="M258" i="19"/>
  <c r="M274" i="19"/>
  <c r="M269" i="19"/>
  <c r="M265" i="19"/>
  <c r="M259" i="19"/>
  <c r="M261" i="19"/>
  <c r="M257" i="19"/>
  <c r="J273" i="19"/>
  <c r="J275" i="19"/>
  <c r="J271" i="19"/>
  <c r="J268" i="19"/>
  <c r="J264" i="19"/>
  <c r="J260" i="19"/>
  <c r="J274" i="19"/>
  <c r="J267" i="19"/>
  <c r="J263" i="19"/>
  <c r="J272" i="19"/>
  <c r="J270" i="19"/>
  <c r="J266" i="19"/>
  <c r="J262" i="19"/>
  <c r="J258" i="19"/>
  <c r="J269" i="19"/>
  <c r="J265" i="19"/>
  <c r="J261" i="19"/>
  <c r="J259" i="19"/>
  <c r="J257" i="19"/>
  <c r="L275" i="19"/>
  <c r="L271" i="19"/>
  <c r="L273" i="19"/>
  <c r="L274" i="19"/>
  <c r="L270" i="19"/>
  <c r="L266" i="19"/>
  <c r="L262" i="19"/>
  <c r="L258" i="19"/>
  <c r="L272" i="19"/>
  <c r="L269" i="19"/>
  <c r="L265" i="19"/>
  <c r="L268" i="19"/>
  <c r="L264" i="19"/>
  <c r="L260" i="19"/>
  <c r="L267" i="19"/>
  <c r="L263" i="19"/>
  <c r="L261" i="19"/>
  <c r="L259" i="19"/>
  <c r="L257" i="19"/>
  <c r="N294" i="18"/>
  <c r="K266" i="18"/>
  <c r="K262" i="18"/>
  <c r="N292" i="18"/>
  <c r="N282" i="18"/>
  <c r="N297" i="18"/>
  <c r="N293" i="18"/>
  <c r="N299" i="18"/>
  <c r="K264" i="18"/>
  <c r="K257" i="18"/>
  <c r="K270" i="18"/>
  <c r="H270" i="18"/>
  <c r="H267" i="18"/>
  <c r="H258" i="18"/>
  <c r="H266" i="18"/>
  <c r="C220" i="18"/>
  <c r="N291" i="18"/>
  <c r="N295" i="18"/>
  <c r="N285" i="18"/>
  <c r="N286" i="18"/>
  <c r="N283" i="18"/>
  <c r="N296" i="18"/>
  <c r="N300" i="18"/>
  <c r="K259" i="18"/>
  <c r="K272" i="18"/>
  <c r="K268" i="18"/>
  <c r="K261" i="18"/>
  <c r="K269" i="18"/>
  <c r="C300" i="18"/>
  <c r="C296" i="18"/>
  <c r="C295" i="18"/>
  <c r="C292" i="18"/>
  <c r="C288" i="18"/>
  <c r="C284" i="18"/>
  <c r="C291" i="18"/>
  <c r="C287" i="18"/>
  <c r="C283" i="18"/>
  <c r="C299" i="18"/>
  <c r="C293" i="18"/>
  <c r="C290" i="18"/>
  <c r="C282" i="18"/>
  <c r="C289" i="18"/>
  <c r="C286" i="18"/>
  <c r="C294" i="18"/>
  <c r="C297" i="18"/>
  <c r="C298" i="18"/>
  <c r="C285" i="18"/>
  <c r="E298" i="18"/>
  <c r="E297" i="18"/>
  <c r="E293" i="18"/>
  <c r="E300" i="18"/>
  <c r="E289" i="18"/>
  <c r="E285" i="18"/>
  <c r="E299" i="18"/>
  <c r="E294" i="18"/>
  <c r="E292" i="18"/>
  <c r="E288" i="18"/>
  <c r="E284" i="18"/>
  <c r="E295" i="18"/>
  <c r="E287" i="18"/>
  <c r="E286" i="18"/>
  <c r="E291" i="18"/>
  <c r="E283" i="18"/>
  <c r="E282" i="18"/>
  <c r="E296" i="18"/>
  <c r="E290" i="18"/>
  <c r="F300" i="18"/>
  <c r="F296" i="18"/>
  <c r="F299" i="18"/>
  <c r="F297" i="18"/>
  <c r="F294" i="18"/>
  <c r="F292" i="18"/>
  <c r="F288" i="18"/>
  <c r="F284" i="18"/>
  <c r="F298" i="18"/>
  <c r="F295" i="18"/>
  <c r="F291" i="18"/>
  <c r="F287" i="18"/>
  <c r="F283" i="18"/>
  <c r="F286" i="18"/>
  <c r="F285" i="18"/>
  <c r="F290" i="18"/>
  <c r="F282" i="18"/>
  <c r="F293" i="18"/>
  <c r="F289" i="18"/>
  <c r="I272" i="18"/>
  <c r="I268" i="18"/>
  <c r="I275" i="18"/>
  <c r="I264" i="18"/>
  <c r="I260" i="18"/>
  <c r="I269" i="18"/>
  <c r="I263" i="18"/>
  <c r="I259" i="18"/>
  <c r="I273" i="18"/>
  <c r="I270" i="18"/>
  <c r="I274" i="18"/>
  <c r="I262" i="18"/>
  <c r="I266" i="18"/>
  <c r="I258" i="18"/>
  <c r="I261" i="18"/>
  <c r="I271" i="18"/>
  <c r="I267" i="18"/>
  <c r="I265" i="18"/>
  <c r="I257" i="18"/>
  <c r="J300" i="18"/>
  <c r="J299" i="18"/>
  <c r="J295" i="18"/>
  <c r="J297" i="18"/>
  <c r="J294" i="18"/>
  <c r="J291" i="18"/>
  <c r="J287" i="18"/>
  <c r="J283" i="18"/>
  <c r="J290" i="18"/>
  <c r="J286" i="18"/>
  <c r="J282" i="18"/>
  <c r="J298" i="18"/>
  <c r="J289" i="18"/>
  <c r="J296" i="18"/>
  <c r="J293" i="18"/>
  <c r="J288" i="18"/>
  <c r="J285" i="18"/>
  <c r="J292" i="18"/>
  <c r="J284" i="18"/>
  <c r="I298" i="18"/>
  <c r="I297" i="18"/>
  <c r="I293" i="18"/>
  <c r="I296" i="18"/>
  <c r="I289" i="18"/>
  <c r="I285" i="18"/>
  <c r="I292" i="18"/>
  <c r="I288" i="18"/>
  <c r="I284" i="18"/>
  <c r="I300" i="18"/>
  <c r="I294" i="18"/>
  <c r="I291" i="18"/>
  <c r="I283" i="18"/>
  <c r="I290" i="18"/>
  <c r="I282" i="18"/>
  <c r="I287" i="18"/>
  <c r="I286" i="18"/>
  <c r="I299" i="18"/>
  <c r="I295" i="18"/>
  <c r="E272" i="18"/>
  <c r="E268" i="18"/>
  <c r="E269" i="18"/>
  <c r="E264" i="18"/>
  <c r="E260" i="18"/>
  <c r="E273" i="18"/>
  <c r="E270" i="18"/>
  <c r="E267" i="18"/>
  <c r="E263" i="18"/>
  <c r="E259" i="18"/>
  <c r="E274" i="18"/>
  <c r="E271" i="18"/>
  <c r="E275" i="18"/>
  <c r="E266" i="18"/>
  <c r="E258" i="18"/>
  <c r="E262" i="18"/>
  <c r="E261" i="18"/>
  <c r="E265" i="18"/>
  <c r="E257" i="18"/>
  <c r="D300" i="18"/>
  <c r="D299" i="18"/>
  <c r="D295" i="18"/>
  <c r="D291" i="18"/>
  <c r="D287" i="18"/>
  <c r="D283" i="18"/>
  <c r="D296" i="18"/>
  <c r="D293" i="18"/>
  <c r="D290" i="18"/>
  <c r="D286" i="18"/>
  <c r="D282" i="18"/>
  <c r="D289" i="18"/>
  <c r="D288" i="18"/>
  <c r="D298" i="18"/>
  <c r="D297" i="18"/>
  <c r="D294" i="18"/>
  <c r="D285" i="18"/>
  <c r="D284" i="18"/>
  <c r="D292" i="18"/>
  <c r="P297" i="18"/>
  <c r="P300" i="18"/>
  <c r="P296" i="18"/>
  <c r="P292" i="18"/>
  <c r="P295" i="18"/>
  <c r="P288" i="18"/>
  <c r="P284" i="18"/>
  <c r="P291" i="18"/>
  <c r="P287" i="18"/>
  <c r="P283" i="18"/>
  <c r="P299" i="18"/>
  <c r="P290" i="18"/>
  <c r="P282" i="18"/>
  <c r="P294" i="18"/>
  <c r="P289" i="18"/>
  <c r="P293" i="18"/>
  <c r="P286" i="18"/>
  <c r="P298" i="18"/>
  <c r="P285" i="18"/>
  <c r="H299" i="18"/>
  <c r="H298" i="18"/>
  <c r="H294" i="18"/>
  <c r="H295" i="18"/>
  <c r="H290" i="18"/>
  <c r="H286" i="18"/>
  <c r="H282" i="18"/>
  <c r="H296" i="18"/>
  <c r="H293" i="18"/>
  <c r="H289" i="18"/>
  <c r="H285" i="18"/>
  <c r="H297" i="18"/>
  <c r="H292" i="18"/>
  <c r="H284" i="18"/>
  <c r="H300" i="18"/>
  <c r="H291" i="18"/>
  <c r="H283" i="18"/>
  <c r="H288" i="18"/>
  <c r="H287" i="18"/>
  <c r="L298" i="18"/>
  <c r="L297" i="18"/>
  <c r="L293" i="18"/>
  <c r="L300" i="18"/>
  <c r="L295" i="18"/>
  <c r="L289" i="18"/>
  <c r="L285" i="18"/>
  <c r="L299" i="18"/>
  <c r="L296" i="18"/>
  <c r="L292" i="18"/>
  <c r="L288" i="18"/>
  <c r="L284" i="18"/>
  <c r="L287" i="18"/>
  <c r="L286" i="18"/>
  <c r="L291" i="18"/>
  <c r="L283" i="18"/>
  <c r="L290" i="18"/>
  <c r="L294" i="18"/>
  <c r="L282" i="18"/>
  <c r="O272" i="18"/>
  <c r="O268" i="18"/>
  <c r="O273" i="18"/>
  <c r="O270" i="18"/>
  <c r="O267" i="18"/>
  <c r="O264" i="18"/>
  <c r="O260" i="18"/>
  <c r="O274" i="18"/>
  <c r="O271" i="18"/>
  <c r="O263" i="18"/>
  <c r="O259" i="18"/>
  <c r="O275" i="18"/>
  <c r="O262" i="18"/>
  <c r="O269" i="18"/>
  <c r="O265" i="18"/>
  <c r="O257" i="18"/>
  <c r="O261" i="18"/>
  <c r="O266" i="18"/>
  <c r="O258" i="18"/>
  <c r="B272" i="18"/>
  <c r="B268" i="18"/>
  <c r="B273" i="18"/>
  <c r="B270" i="18"/>
  <c r="B264" i="18"/>
  <c r="B260" i="18"/>
  <c r="B274" i="18"/>
  <c r="B271" i="18"/>
  <c r="B267" i="18"/>
  <c r="B263" i="18"/>
  <c r="B259" i="18"/>
  <c r="B275" i="18"/>
  <c r="B262" i="18"/>
  <c r="B266" i="18"/>
  <c r="B258" i="18"/>
  <c r="B265" i="18"/>
  <c r="B257" i="18"/>
  <c r="B269" i="18"/>
  <c r="B261" i="18"/>
  <c r="K299" i="18"/>
  <c r="K298" i="18"/>
  <c r="K294" i="18"/>
  <c r="K290" i="18"/>
  <c r="K286" i="18"/>
  <c r="K282" i="18"/>
  <c r="K300" i="18"/>
  <c r="K295" i="18"/>
  <c r="K289" i="18"/>
  <c r="K285" i="18"/>
  <c r="K296" i="18"/>
  <c r="K293" i="18"/>
  <c r="K288" i="18"/>
  <c r="K287" i="18"/>
  <c r="K292" i="18"/>
  <c r="K284" i="18"/>
  <c r="K283" i="18"/>
  <c r="K291" i="18"/>
  <c r="K297" i="18"/>
  <c r="B298" i="18"/>
  <c r="B297" i="18"/>
  <c r="B293" i="18"/>
  <c r="B294" i="18"/>
  <c r="B289" i="18"/>
  <c r="B285" i="18"/>
  <c r="B295" i="18"/>
  <c r="B292" i="18"/>
  <c r="B288" i="18"/>
  <c r="B284" i="18"/>
  <c r="B296" i="18"/>
  <c r="B291" i="18"/>
  <c r="B283" i="18"/>
  <c r="B299" i="18"/>
  <c r="B290" i="18"/>
  <c r="B282" i="18"/>
  <c r="B300" i="18"/>
  <c r="B287" i="18"/>
  <c r="B286" i="18"/>
  <c r="O298" i="18"/>
  <c r="O297" i="18"/>
  <c r="O293" i="18"/>
  <c r="O294" i="18"/>
  <c r="O289" i="18"/>
  <c r="O285" i="18"/>
  <c r="O295" i="18"/>
  <c r="O292" i="18"/>
  <c r="O288" i="18"/>
  <c r="O284" i="18"/>
  <c r="O291" i="18"/>
  <c r="O283" i="18"/>
  <c r="O299" i="18"/>
  <c r="O290" i="18"/>
  <c r="O282" i="18"/>
  <c r="O300" i="18"/>
  <c r="O296" i="18"/>
  <c r="O287" i="18"/>
  <c r="O286" i="18"/>
  <c r="O325" i="18"/>
  <c r="O324" i="18"/>
  <c r="O321" i="18"/>
  <c r="O320" i="18"/>
  <c r="O316" i="18"/>
  <c r="O319" i="18"/>
  <c r="O314" i="18"/>
  <c r="O310" i="18"/>
  <c r="O318" i="18"/>
  <c r="O313" i="18"/>
  <c r="O309" i="18"/>
  <c r="O317" i="18"/>
  <c r="O308" i="18"/>
  <c r="O322" i="18"/>
  <c r="O307" i="18"/>
  <c r="O312" i="18"/>
  <c r="O323" i="18"/>
  <c r="O315" i="18"/>
  <c r="O311" i="18"/>
  <c r="L272" i="18"/>
  <c r="L268" i="18"/>
  <c r="L274" i="18"/>
  <c r="L271" i="18"/>
  <c r="L264" i="18"/>
  <c r="L260" i="18"/>
  <c r="L275" i="18"/>
  <c r="L263" i="18"/>
  <c r="L259" i="18"/>
  <c r="L269" i="18"/>
  <c r="L273" i="18"/>
  <c r="L266" i="18"/>
  <c r="L258" i="18"/>
  <c r="L270" i="18"/>
  <c r="L267" i="18"/>
  <c r="L265" i="18"/>
  <c r="L257" i="18"/>
  <c r="L262" i="18"/>
  <c r="L261" i="18"/>
  <c r="C220" i="17"/>
  <c r="Q275" i="17"/>
  <c r="Q273" i="17"/>
  <c r="Q274" i="17"/>
  <c r="Q271" i="17"/>
  <c r="Q272" i="17"/>
  <c r="Q270" i="17"/>
  <c r="Q268" i="17"/>
  <c r="Q266" i="17"/>
  <c r="Q264" i="17"/>
  <c r="Q262" i="17"/>
  <c r="Q260" i="17"/>
  <c r="Q258" i="17"/>
  <c r="Q269" i="17"/>
  <c r="Q267" i="17"/>
  <c r="Q263" i="17"/>
  <c r="Q265" i="17"/>
  <c r="Q257" i="17"/>
  <c r="Q259" i="17"/>
  <c r="Q261" i="17"/>
  <c r="J261" i="17"/>
  <c r="K258" i="17"/>
  <c r="K264" i="17"/>
  <c r="K267" i="17"/>
  <c r="J260" i="17"/>
  <c r="B257" i="17"/>
  <c r="B271" i="17"/>
  <c r="J271" i="17"/>
  <c r="J268" i="17"/>
  <c r="J272" i="17"/>
  <c r="J270" i="17"/>
  <c r="B259" i="17"/>
  <c r="B263" i="17"/>
  <c r="B267" i="17"/>
  <c r="B266" i="17"/>
  <c r="K265" i="17"/>
  <c r="K262" i="17"/>
  <c r="K266" i="17"/>
  <c r="K270" i="17"/>
  <c r="K271" i="17"/>
  <c r="D270" i="17"/>
  <c r="D274" i="17"/>
  <c r="D259" i="17"/>
  <c r="D257" i="17"/>
  <c r="D273" i="17"/>
  <c r="J264" i="17"/>
  <c r="J265" i="17"/>
  <c r="J266" i="17"/>
  <c r="K260" i="17"/>
  <c r="K268" i="17"/>
  <c r="J269" i="17"/>
  <c r="J273" i="17"/>
  <c r="J275" i="17"/>
  <c r="J258" i="17"/>
  <c r="J274" i="17"/>
  <c r="B261" i="17"/>
  <c r="B265" i="17"/>
  <c r="B269" i="17"/>
  <c r="K274" i="17"/>
  <c r="K269" i="17"/>
  <c r="K273" i="17"/>
  <c r="K259" i="17"/>
  <c r="D258" i="17"/>
  <c r="D262" i="17"/>
  <c r="D266" i="17"/>
  <c r="F325" i="17"/>
  <c r="F321" i="17"/>
  <c r="F320" i="17"/>
  <c r="F318" i="17"/>
  <c r="F314" i="17"/>
  <c r="F310" i="17"/>
  <c r="F322" i="17"/>
  <c r="F313" i="17"/>
  <c r="F311" i="17"/>
  <c r="F323" i="17"/>
  <c r="F317" i="17"/>
  <c r="F308" i="17"/>
  <c r="F315" i="17"/>
  <c r="F312" i="17"/>
  <c r="F309" i="17"/>
  <c r="F319" i="17"/>
  <c r="F316" i="17"/>
  <c r="F307" i="17"/>
  <c r="F324" i="17"/>
  <c r="L273" i="17"/>
  <c r="L269" i="17"/>
  <c r="L265" i="17"/>
  <c r="L261" i="17"/>
  <c r="L257" i="17"/>
  <c r="L271" i="17"/>
  <c r="L264" i="17"/>
  <c r="L262" i="17"/>
  <c r="L274" i="17"/>
  <c r="L267" i="17"/>
  <c r="L260" i="17"/>
  <c r="L258" i="17"/>
  <c r="L272" i="17"/>
  <c r="L270" i="17"/>
  <c r="L263" i="17"/>
  <c r="L268" i="17"/>
  <c r="L259" i="17"/>
  <c r="L275" i="17"/>
  <c r="L266" i="17"/>
  <c r="N275" i="17"/>
  <c r="N271" i="17"/>
  <c r="N267" i="17"/>
  <c r="N263" i="17"/>
  <c r="N259" i="17"/>
  <c r="N274" i="17"/>
  <c r="N272" i="17"/>
  <c r="N265" i="17"/>
  <c r="N258" i="17"/>
  <c r="N270" i="17"/>
  <c r="N268" i="17"/>
  <c r="N261" i="17"/>
  <c r="N273" i="17"/>
  <c r="N266" i="17"/>
  <c r="N264" i="17"/>
  <c r="N257" i="17"/>
  <c r="N262" i="17"/>
  <c r="N269" i="17"/>
  <c r="N260" i="17"/>
  <c r="I272" i="17"/>
  <c r="I268" i="17"/>
  <c r="I264" i="17"/>
  <c r="I260" i="17"/>
  <c r="I271" i="17"/>
  <c r="I269" i="17"/>
  <c r="I262" i="17"/>
  <c r="I274" i="17"/>
  <c r="I267" i="17"/>
  <c r="I265" i="17"/>
  <c r="I258" i="17"/>
  <c r="I270" i="17"/>
  <c r="I263" i="17"/>
  <c r="I261" i="17"/>
  <c r="I259" i="17"/>
  <c r="I275" i="17"/>
  <c r="I266" i="17"/>
  <c r="I257" i="17"/>
  <c r="I273" i="17"/>
  <c r="C275" i="17"/>
  <c r="C271" i="17"/>
  <c r="C267" i="17"/>
  <c r="C263" i="17"/>
  <c r="C259" i="17"/>
  <c r="C274" i="17"/>
  <c r="C272" i="17"/>
  <c r="C265" i="17"/>
  <c r="C258" i="17"/>
  <c r="C270" i="17"/>
  <c r="C268" i="17"/>
  <c r="C261" i="17"/>
  <c r="C273" i="17"/>
  <c r="C266" i="17"/>
  <c r="C264" i="17"/>
  <c r="C257" i="17"/>
  <c r="C262" i="17"/>
  <c r="C269" i="17"/>
  <c r="C260" i="17"/>
  <c r="H275" i="17"/>
  <c r="H271" i="17"/>
  <c r="H267" i="17"/>
  <c r="H263" i="17"/>
  <c r="H259" i="17"/>
  <c r="H273" i="17"/>
  <c r="H266" i="17"/>
  <c r="H264" i="17"/>
  <c r="H257" i="17"/>
  <c r="H269" i="17"/>
  <c r="H262" i="17"/>
  <c r="H260" i="17"/>
  <c r="H274" i="17"/>
  <c r="H272" i="17"/>
  <c r="H265" i="17"/>
  <c r="H258" i="17"/>
  <c r="H268" i="17"/>
  <c r="H270" i="17"/>
  <c r="H261" i="17"/>
  <c r="G273" i="17"/>
  <c r="G269" i="17"/>
  <c r="G265" i="17"/>
  <c r="G261" i="17"/>
  <c r="G257" i="17"/>
  <c r="G272" i="17"/>
  <c r="G270" i="17"/>
  <c r="G263" i="17"/>
  <c r="G275" i="17"/>
  <c r="G268" i="17"/>
  <c r="G266" i="17"/>
  <c r="G259" i="17"/>
  <c r="G271" i="17"/>
  <c r="G264" i="17"/>
  <c r="G262" i="17"/>
  <c r="G267" i="17"/>
  <c r="G258" i="17"/>
  <c r="G260" i="17"/>
  <c r="G274" i="17"/>
  <c r="F272" i="17"/>
  <c r="F268" i="17"/>
  <c r="F264" i="17"/>
  <c r="F260" i="17"/>
  <c r="F274" i="17"/>
  <c r="F267" i="17"/>
  <c r="F265" i="17"/>
  <c r="F258" i="17"/>
  <c r="F270" i="17"/>
  <c r="F263" i="17"/>
  <c r="F261" i="17"/>
  <c r="F275" i="17"/>
  <c r="F273" i="17"/>
  <c r="F266" i="17"/>
  <c r="F259" i="17"/>
  <c r="F257" i="17"/>
  <c r="F269" i="17"/>
  <c r="F271" i="17"/>
  <c r="F262" i="17"/>
  <c r="E274" i="17"/>
  <c r="E270" i="17"/>
  <c r="E266" i="17"/>
  <c r="E262" i="17"/>
  <c r="E258" i="17"/>
  <c r="E273" i="17"/>
  <c r="E271" i="17"/>
  <c r="E264" i="17"/>
  <c r="E257" i="17"/>
  <c r="E269" i="17"/>
  <c r="E267" i="17"/>
  <c r="E260" i="17"/>
  <c r="E272" i="17"/>
  <c r="E265" i="17"/>
  <c r="E263" i="17"/>
  <c r="E275" i="17"/>
  <c r="E268" i="17"/>
  <c r="E259" i="17"/>
  <c r="E261" i="17"/>
  <c r="O272" i="17"/>
  <c r="O268" i="17"/>
  <c r="O264" i="17"/>
  <c r="O260" i="17"/>
  <c r="O270" i="17"/>
  <c r="O263" i="17"/>
  <c r="O261" i="17"/>
  <c r="O275" i="17"/>
  <c r="O273" i="17"/>
  <c r="O266" i="17"/>
  <c r="O259" i="17"/>
  <c r="O257" i="17"/>
  <c r="O271" i="17"/>
  <c r="O269" i="17"/>
  <c r="O262" i="17"/>
  <c r="O274" i="17"/>
  <c r="O265" i="17"/>
  <c r="O267" i="17"/>
  <c r="O258" i="17"/>
  <c r="B221" i="7"/>
  <c r="B237" i="7"/>
  <c r="B234" i="7"/>
  <c r="B231" i="7"/>
  <c r="B228" i="7"/>
  <c r="B225" i="7"/>
  <c r="B222" i="7"/>
  <c r="B238" i="7"/>
  <c r="B235" i="7"/>
  <c r="S28" i="21"/>
  <c r="T28" i="21" s="1"/>
  <c r="T12" i="21"/>
  <c r="S30" i="21"/>
  <c r="T30" i="21" s="1"/>
  <c r="T13" i="21"/>
  <c r="S29" i="21"/>
  <c r="T29" i="21" s="1"/>
  <c r="T11" i="21"/>
  <c r="S27" i="21"/>
  <c r="T27" i="21" s="1"/>
  <c r="H277" i="9" l="1"/>
  <c r="G277" i="12"/>
  <c r="P277" i="12"/>
  <c r="I277" i="12"/>
  <c r="L277" i="12"/>
  <c r="D277" i="12"/>
  <c r="F8" i="12"/>
  <c r="F18" i="12" s="1"/>
  <c r="J8" i="12"/>
  <c r="J18" i="12" s="1"/>
  <c r="Q8" i="12"/>
  <c r="Q18" i="12" s="1"/>
  <c r="O8" i="12"/>
  <c r="O18" i="12" s="1"/>
  <c r="I8" i="12"/>
  <c r="I18" i="12" s="1"/>
  <c r="P8" i="12"/>
  <c r="P18" i="12" s="1"/>
  <c r="U8" i="12"/>
  <c r="U18" i="12" s="1"/>
  <c r="N277" i="12"/>
  <c r="C295" i="17"/>
  <c r="F282" i="19"/>
  <c r="D309" i="19"/>
  <c r="D325" i="19"/>
  <c r="F300" i="19"/>
  <c r="F283" i="19"/>
  <c r="D321" i="19"/>
  <c r="D323" i="19"/>
  <c r="D308" i="19"/>
  <c r="D310" i="19"/>
  <c r="D307" i="19"/>
  <c r="D320" i="19"/>
  <c r="D322" i="19"/>
  <c r="F297" i="19"/>
  <c r="D311" i="19"/>
  <c r="D316" i="19"/>
  <c r="D313" i="19"/>
  <c r="D314" i="19"/>
  <c r="D324" i="19"/>
  <c r="F293" i="19"/>
  <c r="F292" i="19"/>
  <c r="F285" i="19"/>
  <c r="D319" i="19"/>
  <c r="D312" i="19"/>
  <c r="D317" i="19"/>
  <c r="F289" i="19"/>
  <c r="F294" i="19"/>
  <c r="F299" i="19"/>
  <c r="F291" i="19"/>
  <c r="F284" i="19"/>
  <c r="F286" i="19"/>
  <c r="F296" i="19"/>
  <c r="F287" i="19"/>
  <c r="F295" i="19"/>
  <c r="F288" i="19"/>
  <c r="F290" i="19"/>
  <c r="B277" i="19"/>
  <c r="S300" i="17"/>
  <c r="M302" i="18"/>
  <c r="L283" i="12"/>
  <c r="L289" i="12"/>
  <c r="L296" i="12"/>
  <c r="C291" i="17"/>
  <c r="C288" i="17"/>
  <c r="M8" i="12"/>
  <c r="M18" i="12" s="1"/>
  <c r="L8" i="12"/>
  <c r="L18" i="12" s="1"/>
  <c r="G8" i="12"/>
  <c r="G18" i="12" s="1"/>
  <c r="T8" i="12"/>
  <c r="T18" i="12" s="1"/>
  <c r="N8" i="12"/>
  <c r="N18" i="12" s="1"/>
  <c r="R8" i="12"/>
  <c r="R18" i="12" s="1"/>
  <c r="R318" i="12"/>
  <c r="C290" i="17"/>
  <c r="C299" i="17"/>
  <c r="K289" i="12"/>
  <c r="L292" i="12"/>
  <c r="L288" i="12"/>
  <c r="P277" i="17"/>
  <c r="O277" i="16"/>
  <c r="B320" i="18"/>
  <c r="B324" i="18"/>
  <c r="L290" i="12"/>
  <c r="L284" i="12"/>
  <c r="L293" i="12"/>
  <c r="L286" i="12"/>
  <c r="K292" i="17"/>
  <c r="L291" i="12"/>
  <c r="L287" i="12"/>
  <c r="L295" i="12"/>
  <c r="L282" i="12"/>
  <c r="J300" i="17"/>
  <c r="K296" i="17"/>
  <c r="J284" i="16"/>
  <c r="L298" i="12"/>
  <c r="L299" i="12"/>
  <c r="L300" i="12"/>
  <c r="D284" i="17"/>
  <c r="K289" i="17"/>
  <c r="M312" i="17"/>
  <c r="D295" i="17"/>
  <c r="O287" i="17"/>
  <c r="K288" i="17"/>
  <c r="Q291" i="17"/>
  <c r="O290" i="17"/>
  <c r="K283" i="17"/>
  <c r="J292" i="17"/>
  <c r="D283" i="17"/>
  <c r="D288" i="17"/>
  <c r="O282" i="17"/>
  <c r="O288" i="17"/>
  <c r="K300" i="17"/>
  <c r="K284" i="17"/>
  <c r="K290" i="17"/>
  <c r="K287" i="17"/>
  <c r="K293" i="17"/>
  <c r="J291" i="17"/>
  <c r="Q284" i="17"/>
  <c r="Q283" i="17"/>
  <c r="Q288" i="17"/>
  <c r="D292" i="17"/>
  <c r="O292" i="17"/>
  <c r="K295" i="17"/>
  <c r="K297" i="17"/>
  <c r="J285" i="17"/>
  <c r="J282" i="17"/>
  <c r="J297" i="17"/>
  <c r="D285" i="17"/>
  <c r="O286" i="17"/>
  <c r="K285" i="17"/>
  <c r="K286" i="17"/>
  <c r="K291" i="17"/>
  <c r="D282" i="17"/>
  <c r="D293" i="17"/>
  <c r="O283" i="17"/>
  <c r="O298" i="17"/>
  <c r="K282" i="17"/>
  <c r="K299" i="17"/>
  <c r="K298" i="17"/>
  <c r="J299" i="17"/>
  <c r="J289" i="17"/>
  <c r="N287" i="17"/>
  <c r="C296" i="17"/>
  <c r="C285" i="17"/>
  <c r="C282" i="17"/>
  <c r="C283" i="17"/>
  <c r="M285" i="17"/>
  <c r="N309" i="18"/>
  <c r="P322" i="12"/>
  <c r="U277" i="12"/>
  <c r="T277" i="12"/>
  <c r="M277" i="12"/>
  <c r="H277" i="12"/>
  <c r="M291" i="17"/>
  <c r="C297" i="17"/>
  <c r="C284" i="17"/>
  <c r="C293" i="17"/>
  <c r="C294" i="17"/>
  <c r="M289" i="17"/>
  <c r="L297" i="12"/>
  <c r="L285" i="12"/>
  <c r="C287" i="17"/>
  <c r="C298" i="17"/>
  <c r="C286" i="17"/>
  <c r="C289" i="17"/>
  <c r="C292" i="17"/>
  <c r="M318" i="9"/>
  <c r="K300" i="12"/>
  <c r="R308" i="12"/>
  <c r="M277" i="17"/>
  <c r="S277" i="17"/>
  <c r="S324" i="12"/>
  <c r="N298" i="12"/>
  <c r="N289" i="12"/>
  <c r="G291" i="17"/>
  <c r="P293" i="17"/>
  <c r="G286" i="17"/>
  <c r="H284" i="17"/>
  <c r="H293" i="17"/>
  <c r="S287" i="17"/>
  <c r="H282" i="17"/>
  <c r="H298" i="17"/>
  <c r="S295" i="17"/>
  <c r="S282" i="17"/>
  <c r="P286" i="17"/>
  <c r="R277" i="17"/>
  <c r="I287" i="17"/>
  <c r="G296" i="17"/>
  <c r="H287" i="17"/>
  <c r="H294" i="17"/>
  <c r="S288" i="17"/>
  <c r="S292" i="17"/>
  <c r="G298" i="17"/>
  <c r="R8" i="17"/>
  <c r="R18" i="17" s="1"/>
  <c r="M8" i="17"/>
  <c r="M18" i="17" s="1"/>
  <c r="J8" i="17"/>
  <c r="J18" i="17" s="1"/>
  <c r="E8" i="17"/>
  <c r="E18" i="17" s="1"/>
  <c r="B8" i="17"/>
  <c r="B18" i="17" s="1"/>
  <c r="S8" i="17"/>
  <c r="S18" i="17" s="1"/>
  <c r="Q8" i="17"/>
  <c r="Q18" i="17" s="1"/>
  <c r="O8" i="17"/>
  <c r="O18" i="17" s="1"/>
  <c r="I8" i="17"/>
  <c r="I18" i="17" s="1"/>
  <c r="K8" i="17"/>
  <c r="K18" i="17" s="1"/>
  <c r="L8" i="17"/>
  <c r="L18" i="17" s="1"/>
  <c r="G8" i="17"/>
  <c r="G18" i="17" s="1"/>
  <c r="D8" i="17"/>
  <c r="D18" i="17" s="1"/>
  <c r="P8" i="17"/>
  <c r="P18" i="17" s="1"/>
  <c r="F8" i="17"/>
  <c r="F18" i="17" s="1"/>
  <c r="N8" i="17"/>
  <c r="N18" i="17" s="1"/>
  <c r="H8" i="17"/>
  <c r="H18" i="17" s="1"/>
  <c r="C8" i="17"/>
  <c r="C18" i="17" s="1"/>
  <c r="S283" i="17"/>
  <c r="P299" i="17"/>
  <c r="P298" i="17"/>
  <c r="E285" i="17"/>
  <c r="B309" i="17"/>
  <c r="K290" i="16"/>
  <c r="E298" i="17"/>
  <c r="E300" i="17"/>
  <c r="F298" i="17"/>
  <c r="I288" i="17"/>
  <c r="H324" i="19"/>
  <c r="E296" i="17"/>
  <c r="I298" i="17"/>
  <c r="G288" i="17"/>
  <c r="B284" i="17"/>
  <c r="H299" i="17"/>
  <c r="H288" i="17"/>
  <c r="F289" i="17"/>
  <c r="H295" i="17"/>
  <c r="B296" i="17"/>
  <c r="S297" i="17"/>
  <c r="E317" i="18"/>
  <c r="J286" i="16"/>
  <c r="J293" i="16"/>
  <c r="R297" i="12"/>
  <c r="S290" i="17"/>
  <c r="P294" i="17"/>
  <c r="F297" i="17"/>
  <c r="J299" i="16"/>
  <c r="I296" i="17"/>
  <c r="G287" i="17"/>
  <c r="G292" i="17"/>
  <c r="H283" i="17"/>
  <c r="B298" i="17"/>
  <c r="H296" i="17"/>
  <c r="H290" i="17"/>
  <c r="H292" i="17"/>
  <c r="S291" i="17"/>
  <c r="B283" i="17"/>
  <c r="S293" i="17"/>
  <c r="B297" i="17"/>
  <c r="P300" i="17"/>
  <c r="K319" i="17"/>
  <c r="J290" i="16"/>
  <c r="B313" i="12"/>
  <c r="E284" i="17"/>
  <c r="S298" i="17"/>
  <c r="H289" i="17"/>
  <c r="S294" i="17"/>
  <c r="I289" i="17"/>
  <c r="K291" i="16"/>
  <c r="J287" i="16"/>
  <c r="J295" i="16"/>
  <c r="J288" i="16"/>
  <c r="J285" i="16"/>
  <c r="J297" i="16"/>
  <c r="R298" i="12"/>
  <c r="J292" i="12"/>
  <c r="E287" i="17"/>
  <c r="E293" i="17"/>
  <c r="E283" i="17"/>
  <c r="E299" i="17"/>
  <c r="I290" i="17"/>
  <c r="I291" i="17"/>
  <c r="I295" i="17"/>
  <c r="G294" i="17"/>
  <c r="G285" i="17"/>
  <c r="H297" i="17"/>
  <c r="H285" i="17"/>
  <c r="H300" i="17"/>
  <c r="F294" i="17"/>
  <c r="F284" i="17"/>
  <c r="F287" i="17"/>
  <c r="F296" i="17"/>
  <c r="S296" i="17"/>
  <c r="P291" i="17"/>
  <c r="S284" i="17"/>
  <c r="D291" i="16"/>
  <c r="K296" i="16"/>
  <c r="J296" i="16"/>
  <c r="J283" i="16"/>
  <c r="J292" i="16"/>
  <c r="J289" i="16"/>
  <c r="J298" i="16"/>
  <c r="E324" i="9"/>
  <c r="Q300" i="12"/>
  <c r="N284" i="12"/>
  <c r="J295" i="12"/>
  <c r="S289" i="17"/>
  <c r="E288" i="17"/>
  <c r="S286" i="17"/>
  <c r="B286" i="17"/>
  <c r="H286" i="17"/>
  <c r="E292" i="17"/>
  <c r="E297" i="17"/>
  <c r="E295" i="17"/>
  <c r="N283" i="17"/>
  <c r="I299" i="17"/>
  <c r="I292" i="17"/>
  <c r="F291" i="17"/>
  <c r="F286" i="17"/>
  <c r="I286" i="17"/>
  <c r="I285" i="17"/>
  <c r="I300" i="17"/>
  <c r="I294" i="17"/>
  <c r="F293" i="17"/>
  <c r="F288" i="17"/>
  <c r="F292" i="17"/>
  <c r="F295" i="17"/>
  <c r="B310" i="18"/>
  <c r="J282" i="16"/>
  <c r="J291" i="16"/>
  <c r="J294" i="16"/>
  <c r="H321" i="9"/>
  <c r="Q288" i="12"/>
  <c r="R290" i="12"/>
  <c r="E282" i="17"/>
  <c r="S299" i="17"/>
  <c r="E290" i="17"/>
  <c r="E291" i="17"/>
  <c r="E294" i="17"/>
  <c r="E289" i="17"/>
  <c r="G282" i="17"/>
  <c r="G297" i="17"/>
  <c r="G283" i="17"/>
  <c r="G289" i="17"/>
  <c r="G295" i="17"/>
  <c r="B293" i="17"/>
  <c r="J312" i="17"/>
  <c r="B290" i="17"/>
  <c r="B299" i="17"/>
  <c r="P288" i="17"/>
  <c r="P287" i="17"/>
  <c r="B292" i="17"/>
  <c r="P292" i="17"/>
  <c r="B282" i="17"/>
  <c r="L283" i="9"/>
  <c r="P282" i="17"/>
  <c r="B285" i="17"/>
  <c r="P297" i="17"/>
  <c r="B300" i="17"/>
  <c r="P296" i="17"/>
  <c r="G284" i="17"/>
  <c r="G300" i="17"/>
  <c r="G290" i="17"/>
  <c r="G293" i="17"/>
  <c r="B291" i="17"/>
  <c r="M298" i="17"/>
  <c r="B294" i="17"/>
  <c r="P289" i="17"/>
  <c r="P295" i="17"/>
  <c r="P283" i="17"/>
  <c r="P284" i="17"/>
  <c r="B287" i="17"/>
  <c r="N325" i="18"/>
  <c r="D292" i="16"/>
  <c r="G299" i="9"/>
  <c r="S314" i="12"/>
  <c r="K283" i="12"/>
  <c r="B289" i="17"/>
  <c r="P290" i="17"/>
  <c r="S324" i="17"/>
  <c r="B288" i="17"/>
  <c r="T294" i="12"/>
  <c r="M299" i="17"/>
  <c r="M282" i="17"/>
  <c r="M300" i="17"/>
  <c r="M284" i="19"/>
  <c r="E312" i="9"/>
  <c r="E318" i="9"/>
  <c r="R319" i="12"/>
  <c r="R287" i="17"/>
  <c r="R286" i="17"/>
  <c r="L302" i="17"/>
  <c r="D298" i="17"/>
  <c r="D297" i="17"/>
  <c r="O291" i="17"/>
  <c r="J298" i="17"/>
  <c r="J293" i="17"/>
  <c r="M295" i="17"/>
  <c r="Q286" i="17"/>
  <c r="E299" i="19"/>
  <c r="K285" i="16"/>
  <c r="K298" i="16"/>
  <c r="E313" i="9"/>
  <c r="Q289" i="12"/>
  <c r="R311" i="12"/>
  <c r="R314" i="12"/>
  <c r="R287" i="12"/>
  <c r="J289" i="12"/>
  <c r="N284" i="17"/>
  <c r="N288" i="17"/>
  <c r="R288" i="17"/>
  <c r="Q289" i="17"/>
  <c r="Q287" i="17"/>
  <c r="M314" i="17"/>
  <c r="M288" i="17"/>
  <c r="K282" i="16"/>
  <c r="K294" i="16"/>
  <c r="E314" i="9"/>
  <c r="Q298" i="12"/>
  <c r="R323" i="12"/>
  <c r="R288" i="12"/>
  <c r="J282" i="12"/>
  <c r="J322" i="12"/>
  <c r="N298" i="17"/>
  <c r="N299" i="17"/>
  <c r="N300" i="17"/>
  <c r="N290" i="17"/>
  <c r="H277" i="19"/>
  <c r="N277" i="18"/>
  <c r="F318" i="18"/>
  <c r="F315" i="18"/>
  <c r="C311" i="17"/>
  <c r="C313" i="17"/>
  <c r="R298" i="17"/>
  <c r="R299" i="17"/>
  <c r="R297" i="17"/>
  <c r="R282" i="17"/>
  <c r="R295" i="17"/>
  <c r="R283" i="17"/>
  <c r="R300" i="17"/>
  <c r="R284" i="17"/>
  <c r="R291" i="17"/>
  <c r="R293" i="17"/>
  <c r="M294" i="17"/>
  <c r="M287" i="17"/>
  <c r="M290" i="17"/>
  <c r="M296" i="17"/>
  <c r="R325" i="12"/>
  <c r="R317" i="12"/>
  <c r="R310" i="12"/>
  <c r="R316" i="12"/>
  <c r="R307" i="12"/>
  <c r="G315" i="17"/>
  <c r="M292" i="17"/>
  <c r="M293" i="17"/>
  <c r="K314" i="9"/>
  <c r="R312" i="12"/>
  <c r="R309" i="12"/>
  <c r="R320" i="12"/>
  <c r="R322" i="12"/>
  <c r="I294" i="9"/>
  <c r="I300" i="9"/>
  <c r="R290" i="17"/>
  <c r="R292" i="17"/>
  <c r="R285" i="17"/>
  <c r="M307" i="19"/>
  <c r="M321" i="19"/>
  <c r="R294" i="17"/>
  <c r="R296" i="17"/>
  <c r="Q293" i="17"/>
  <c r="Q298" i="17"/>
  <c r="Q292" i="17"/>
  <c r="Q296" i="17"/>
  <c r="Q294" i="17"/>
  <c r="Q299" i="17"/>
  <c r="Q282" i="17"/>
  <c r="Q290" i="17"/>
  <c r="D294" i="17"/>
  <c r="D300" i="17"/>
  <c r="D291" i="17"/>
  <c r="D287" i="17"/>
  <c r="D296" i="17"/>
  <c r="J290" i="17"/>
  <c r="J286" i="17"/>
  <c r="J296" i="17"/>
  <c r="J287" i="17"/>
  <c r="J284" i="17"/>
  <c r="N282" i="17"/>
  <c r="N292" i="17"/>
  <c r="N289" i="17"/>
  <c r="N297" i="17"/>
  <c r="N286" i="17"/>
  <c r="N294" i="17"/>
  <c r="N291" i="17"/>
  <c r="N285" i="17"/>
  <c r="O296" i="17"/>
  <c r="O300" i="17"/>
  <c r="O295" i="17"/>
  <c r="O289" i="17"/>
  <c r="O293" i="17"/>
  <c r="D290" i="17"/>
  <c r="D286" i="17"/>
  <c r="D289" i="17"/>
  <c r="O285" i="17"/>
  <c r="O299" i="17"/>
  <c r="O297" i="17"/>
  <c r="O294" i="17"/>
  <c r="M284" i="17"/>
  <c r="J288" i="17"/>
  <c r="J295" i="17"/>
  <c r="J283" i="17"/>
  <c r="M297" i="17"/>
  <c r="Q285" i="17"/>
  <c r="M286" i="17"/>
  <c r="I286" i="9"/>
  <c r="R315" i="12"/>
  <c r="R313" i="12"/>
  <c r="R324" i="12"/>
  <c r="C286" i="12"/>
  <c r="U296" i="12"/>
  <c r="Q297" i="17"/>
  <c r="N295" i="17"/>
  <c r="Q295" i="17"/>
  <c r="N293" i="17"/>
  <c r="S319" i="17"/>
  <c r="S307" i="17"/>
  <c r="I293" i="17"/>
  <c r="I283" i="17"/>
  <c r="I282" i="17"/>
  <c r="I284" i="17"/>
  <c r="M324" i="17"/>
  <c r="F285" i="17"/>
  <c r="F290" i="17"/>
  <c r="F282" i="17"/>
  <c r="F300" i="17"/>
  <c r="N311" i="18"/>
  <c r="D299" i="16"/>
  <c r="E309" i="9"/>
  <c r="E311" i="9"/>
  <c r="I323" i="12"/>
  <c r="D322" i="12"/>
  <c r="K313" i="12"/>
  <c r="F299" i="17"/>
  <c r="C312" i="17"/>
  <c r="C325" i="17"/>
  <c r="C308" i="17"/>
  <c r="C315" i="17"/>
  <c r="C314" i="17"/>
  <c r="B311" i="18"/>
  <c r="N322" i="18"/>
  <c r="D282" i="16"/>
  <c r="E308" i="9"/>
  <c r="E315" i="9"/>
  <c r="E322" i="9"/>
  <c r="I316" i="12"/>
  <c r="P315" i="12"/>
  <c r="J320" i="12"/>
  <c r="S309" i="12"/>
  <c r="B322" i="12"/>
  <c r="K314" i="12"/>
  <c r="R308" i="17"/>
  <c r="B308" i="17"/>
  <c r="N285" i="19"/>
  <c r="K284" i="12"/>
  <c r="S322" i="17"/>
  <c r="M312" i="19"/>
  <c r="D286" i="16"/>
  <c r="D296" i="16"/>
  <c r="I297" i="9"/>
  <c r="E319" i="9"/>
  <c r="E320" i="9"/>
  <c r="E323" i="9"/>
  <c r="E317" i="9"/>
  <c r="H324" i="9"/>
  <c r="S317" i="12"/>
  <c r="I314" i="12"/>
  <c r="B315" i="12"/>
  <c r="D309" i="12"/>
  <c r="K295" i="12"/>
  <c r="K286" i="12"/>
  <c r="K292" i="12"/>
  <c r="K297" i="12"/>
  <c r="P325" i="12"/>
  <c r="K323" i="12"/>
  <c r="J313" i="12"/>
  <c r="S312" i="17"/>
  <c r="R321" i="17"/>
  <c r="S321" i="17"/>
  <c r="T290" i="12"/>
  <c r="T285" i="12"/>
  <c r="M309" i="9"/>
  <c r="K290" i="12"/>
  <c r="K291" i="12"/>
  <c r="K293" i="12"/>
  <c r="S313" i="17"/>
  <c r="S318" i="17"/>
  <c r="S314" i="17"/>
  <c r="B321" i="17"/>
  <c r="B316" i="17"/>
  <c r="M325" i="17"/>
  <c r="M316" i="17"/>
  <c r="R310" i="17"/>
  <c r="K311" i="17"/>
  <c r="B315" i="18"/>
  <c r="C311" i="18"/>
  <c r="N320" i="18"/>
  <c r="B325" i="17"/>
  <c r="B313" i="18"/>
  <c r="N314" i="18"/>
  <c r="E296" i="19"/>
  <c r="M309" i="19"/>
  <c r="D284" i="16"/>
  <c r="I282" i="9"/>
  <c r="E325" i="9"/>
  <c r="E316" i="9"/>
  <c r="E310" i="9"/>
  <c r="E307" i="9"/>
  <c r="K282" i="12"/>
  <c r="K294" i="12"/>
  <c r="K285" i="12"/>
  <c r="K298" i="12"/>
  <c r="S308" i="17"/>
  <c r="T283" i="12"/>
  <c r="S317" i="17"/>
  <c r="S311" i="17"/>
  <c r="S320" i="17"/>
  <c r="S310" i="17"/>
  <c r="L321" i="19"/>
  <c r="L320" i="19"/>
  <c r="L325" i="19"/>
  <c r="C294" i="19"/>
  <c r="C282" i="19"/>
  <c r="C291" i="19"/>
  <c r="C325" i="12"/>
  <c r="C322" i="12"/>
  <c r="U316" i="12"/>
  <c r="U315" i="12"/>
  <c r="F296" i="12"/>
  <c r="F299" i="12"/>
  <c r="F295" i="12"/>
  <c r="F293" i="12"/>
  <c r="D312" i="17"/>
  <c r="G297" i="19"/>
  <c r="F282" i="12"/>
  <c r="H321" i="19"/>
  <c r="H322" i="19"/>
  <c r="E320" i="18"/>
  <c r="E324" i="18"/>
  <c r="E325" i="18"/>
  <c r="C320" i="17"/>
  <c r="C323" i="17"/>
  <c r="C316" i="17"/>
  <c r="C322" i="17"/>
  <c r="C298" i="12"/>
  <c r="C294" i="12"/>
  <c r="G312" i="17"/>
  <c r="C310" i="17"/>
  <c r="C309" i="17"/>
  <c r="J309" i="18"/>
  <c r="H323" i="18"/>
  <c r="E315" i="18"/>
  <c r="G309" i="19"/>
  <c r="L311" i="19"/>
  <c r="C283" i="19"/>
  <c r="F287" i="12"/>
  <c r="J307" i="19"/>
  <c r="J322" i="19"/>
  <c r="N293" i="19"/>
  <c r="N288" i="19"/>
  <c r="G318" i="18"/>
  <c r="H308" i="19"/>
  <c r="L324" i="19"/>
  <c r="C290" i="19"/>
  <c r="I282" i="19"/>
  <c r="F292" i="12"/>
  <c r="K286" i="16"/>
  <c r="K295" i="16"/>
  <c r="K288" i="16"/>
  <c r="K300" i="16"/>
  <c r="Q291" i="12"/>
  <c r="Q286" i="12"/>
  <c r="R283" i="12"/>
  <c r="R295" i="12"/>
  <c r="N283" i="12"/>
  <c r="N295" i="12"/>
  <c r="J284" i="12"/>
  <c r="J283" i="12"/>
  <c r="K289" i="16"/>
  <c r="K287" i="16"/>
  <c r="K292" i="16"/>
  <c r="K297" i="16"/>
  <c r="E291" i="9"/>
  <c r="Q287" i="12"/>
  <c r="K299" i="12"/>
  <c r="K287" i="12"/>
  <c r="K288" i="12"/>
  <c r="R291" i="12"/>
  <c r="N296" i="12"/>
  <c r="J288" i="12"/>
  <c r="S315" i="17"/>
  <c r="S316" i="17"/>
  <c r="S323" i="17"/>
  <c r="S325" i="17"/>
  <c r="H318" i="17"/>
  <c r="H321" i="17"/>
  <c r="M319" i="18"/>
  <c r="M323" i="18"/>
  <c r="E315" i="12"/>
  <c r="E311" i="12"/>
  <c r="L290" i="16"/>
  <c r="L288" i="16"/>
  <c r="M297" i="16"/>
  <c r="M288" i="16"/>
  <c r="M286" i="16"/>
  <c r="M295" i="16"/>
  <c r="M289" i="16"/>
  <c r="H291" i="12"/>
  <c r="H282" i="12"/>
  <c r="H300" i="12"/>
  <c r="E296" i="12"/>
  <c r="E292" i="12"/>
  <c r="T320" i="12"/>
  <c r="T323" i="12"/>
  <c r="T311" i="12"/>
  <c r="T325" i="12"/>
  <c r="T307" i="12"/>
  <c r="T319" i="12"/>
  <c r="T313" i="12"/>
  <c r="L324" i="12"/>
  <c r="L313" i="12"/>
  <c r="L322" i="12"/>
  <c r="L312" i="12"/>
  <c r="L325" i="12"/>
  <c r="L308" i="12"/>
  <c r="M321" i="9"/>
  <c r="M323" i="9"/>
  <c r="M322" i="9"/>
  <c r="M319" i="9"/>
  <c r="M320" i="9"/>
  <c r="M324" i="9"/>
  <c r="M315" i="9"/>
  <c r="M308" i="9"/>
  <c r="M325" i="19"/>
  <c r="M315" i="19"/>
  <c r="M314" i="19"/>
  <c r="M323" i="19"/>
  <c r="M308" i="19"/>
  <c r="O320" i="17"/>
  <c r="M324" i="19"/>
  <c r="M317" i="19"/>
  <c r="M311" i="19"/>
  <c r="L300" i="16"/>
  <c r="G316" i="9"/>
  <c r="M307" i="9"/>
  <c r="M313" i="9"/>
  <c r="M316" i="9"/>
  <c r="T308" i="12"/>
  <c r="L309" i="12"/>
  <c r="F319" i="18"/>
  <c r="F310" i="18"/>
  <c r="B289" i="16"/>
  <c r="B294" i="16"/>
  <c r="B324" i="12"/>
  <c r="B317" i="12"/>
  <c r="B312" i="12"/>
  <c r="B318" i="12"/>
  <c r="B314" i="12"/>
  <c r="B309" i="12"/>
  <c r="B319" i="12"/>
  <c r="B325" i="12"/>
  <c r="B310" i="12"/>
  <c r="B320" i="12"/>
  <c r="B307" i="12"/>
  <c r="D320" i="12"/>
  <c r="D316" i="12"/>
  <c r="D318" i="12"/>
  <c r="D310" i="12"/>
  <c r="D313" i="12"/>
  <c r="D324" i="12"/>
  <c r="D312" i="12"/>
  <c r="D311" i="12"/>
  <c r="D314" i="12"/>
  <c r="D323" i="12"/>
  <c r="D308" i="12"/>
  <c r="D307" i="12"/>
  <c r="K323" i="17"/>
  <c r="K309" i="17"/>
  <c r="K321" i="17"/>
  <c r="K310" i="17"/>
  <c r="K314" i="17"/>
  <c r="K316" i="17"/>
  <c r="K312" i="17"/>
  <c r="K324" i="17"/>
  <c r="K307" i="17"/>
  <c r="K318" i="17"/>
  <c r="I324" i="12"/>
  <c r="I318" i="12"/>
  <c r="I325" i="12"/>
  <c r="I308" i="12"/>
  <c r="I315" i="12"/>
  <c r="I321" i="12"/>
  <c r="I313" i="12"/>
  <c r="I312" i="12"/>
  <c r="I307" i="12"/>
  <c r="I320" i="12"/>
  <c r="I309" i="12"/>
  <c r="K320" i="12"/>
  <c r="K317" i="12"/>
  <c r="K308" i="12"/>
  <c r="K311" i="12"/>
  <c r="K325" i="12"/>
  <c r="K310" i="12"/>
  <c r="K316" i="12"/>
  <c r="K318" i="12"/>
  <c r="K322" i="12"/>
  <c r="K319" i="12"/>
  <c r="K324" i="12"/>
  <c r="K312" i="12"/>
  <c r="J324" i="12"/>
  <c r="J316" i="12"/>
  <c r="J315" i="12"/>
  <c r="J317" i="12"/>
  <c r="J318" i="12"/>
  <c r="J323" i="12"/>
  <c r="J308" i="12"/>
  <c r="J310" i="12"/>
  <c r="J319" i="12"/>
  <c r="J321" i="12"/>
  <c r="J309" i="12"/>
  <c r="R323" i="17"/>
  <c r="R315" i="17"/>
  <c r="R320" i="17"/>
  <c r="R322" i="17"/>
  <c r="R307" i="17"/>
  <c r="R325" i="17"/>
  <c r="R316" i="17"/>
  <c r="R324" i="17"/>
  <c r="R309" i="17"/>
  <c r="R312" i="17"/>
  <c r="R317" i="17"/>
  <c r="S321" i="12"/>
  <c r="S313" i="12"/>
  <c r="S312" i="12"/>
  <c r="S315" i="12"/>
  <c r="S310" i="12"/>
  <c r="S320" i="12"/>
  <c r="S316" i="12"/>
  <c r="S307" i="12"/>
  <c r="D295" i="16"/>
  <c r="D287" i="16"/>
  <c r="D290" i="16"/>
  <c r="D288" i="16"/>
  <c r="T287" i="12"/>
  <c r="T300" i="12"/>
  <c r="T282" i="12"/>
  <c r="T293" i="12"/>
  <c r="T297" i="12"/>
  <c r="T289" i="12"/>
  <c r="T288" i="12"/>
  <c r="T296" i="12"/>
  <c r="T286" i="12"/>
  <c r="T295" i="12"/>
  <c r="T298" i="12"/>
  <c r="T291" i="12"/>
  <c r="P320" i="12"/>
  <c r="P317" i="12"/>
  <c r="P324" i="12"/>
  <c r="P307" i="12"/>
  <c r="P314" i="12"/>
  <c r="P323" i="12"/>
  <c r="P312" i="12"/>
  <c r="P311" i="12"/>
  <c r="P313" i="12"/>
  <c r="P319" i="12"/>
  <c r="P308" i="12"/>
  <c r="P318" i="12"/>
  <c r="N319" i="18"/>
  <c r="N321" i="18"/>
  <c r="N315" i="18"/>
  <c r="N317" i="18"/>
  <c r="N313" i="18"/>
  <c r="M320" i="17"/>
  <c r="M315" i="17"/>
  <c r="M319" i="17"/>
  <c r="M317" i="17"/>
  <c r="M309" i="17"/>
  <c r="O318" i="17"/>
  <c r="I308" i="17"/>
  <c r="M318" i="17"/>
  <c r="M307" i="17"/>
  <c r="M313" i="17"/>
  <c r="M322" i="17"/>
  <c r="R318" i="17"/>
  <c r="R319" i="17"/>
  <c r="K325" i="17"/>
  <c r="K317" i="17"/>
  <c r="K313" i="17"/>
  <c r="C322" i="18"/>
  <c r="F324" i="18"/>
  <c r="N310" i="18"/>
  <c r="N308" i="18"/>
  <c r="N324" i="18"/>
  <c r="N314" i="19"/>
  <c r="M316" i="19"/>
  <c r="M310" i="19"/>
  <c r="M319" i="19"/>
  <c r="D285" i="16"/>
  <c r="D294" i="16"/>
  <c r="D293" i="16"/>
  <c r="D300" i="16"/>
  <c r="M311" i="9"/>
  <c r="M317" i="9"/>
  <c r="M325" i="9"/>
  <c r="S311" i="12"/>
  <c r="S323" i="12"/>
  <c r="S319" i="12"/>
  <c r="I310" i="12"/>
  <c r="I322" i="12"/>
  <c r="B308" i="12"/>
  <c r="B323" i="12"/>
  <c r="D317" i="12"/>
  <c r="D319" i="12"/>
  <c r="T312" i="12"/>
  <c r="L320" i="12"/>
  <c r="P321" i="12"/>
  <c r="K315" i="12"/>
  <c r="K321" i="12"/>
  <c r="J311" i="12"/>
  <c r="J325" i="12"/>
  <c r="T292" i="12"/>
  <c r="K286" i="19"/>
  <c r="I322" i="17"/>
  <c r="M311" i="17"/>
  <c r="M310" i="17"/>
  <c r="M308" i="17"/>
  <c r="M323" i="17"/>
  <c r="R314" i="17"/>
  <c r="R311" i="17"/>
  <c r="K315" i="17"/>
  <c r="K322" i="17"/>
  <c r="K308" i="17"/>
  <c r="C320" i="18"/>
  <c r="N316" i="18"/>
  <c r="N307" i="18"/>
  <c r="N312" i="18"/>
  <c r="N323" i="18"/>
  <c r="E288" i="19"/>
  <c r="N315" i="19"/>
  <c r="M320" i="19"/>
  <c r="M313" i="19"/>
  <c r="M318" i="19"/>
  <c r="M322" i="19"/>
  <c r="D289" i="16"/>
  <c r="D297" i="16"/>
  <c r="D298" i="16"/>
  <c r="B288" i="16"/>
  <c r="M312" i="9"/>
  <c r="M310" i="9"/>
  <c r="S322" i="12"/>
  <c r="S308" i="12"/>
  <c r="S325" i="12"/>
  <c r="I311" i="12"/>
  <c r="I317" i="12"/>
  <c r="B316" i="12"/>
  <c r="B321" i="12"/>
  <c r="D315" i="12"/>
  <c r="D325" i="12"/>
  <c r="L310" i="12"/>
  <c r="P309" i="12"/>
  <c r="P316" i="12"/>
  <c r="K309" i="12"/>
  <c r="J314" i="12"/>
  <c r="J312" i="12"/>
  <c r="I292" i="9"/>
  <c r="I285" i="9"/>
  <c r="J307" i="17"/>
  <c r="J324" i="17"/>
  <c r="T299" i="12"/>
  <c r="M288" i="9"/>
  <c r="M290" i="9"/>
  <c r="O291" i="12"/>
  <c r="O295" i="12"/>
  <c r="F300" i="12"/>
  <c r="F297" i="12"/>
  <c r="F284" i="12"/>
  <c r="F286" i="12"/>
  <c r="F289" i="12"/>
  <c r="N294" i="12"/>
  <c r="N299" i="12"/>
  <c r="N282" i="12"/>
  <c r="N292" i="12"/>
  <c r="N297" i="12"/>
  <c r="R293" i="12"/>
  <c r="R296" i="12"/>
  <c r="R292" i="12"/>
  <c r="R286" i="12"/>
  <c r="Q294" i="12"/>
  <c r="Q290" i="12"/>
  <c r="Q285" i="12"/>
  <c r="Q293" i="12"/>
  <c r="J300" i="12"/>
  <c r="J298" i="12"/>
  <c r="J286" i="12"/>
  <c r="J296" i="12"/>
  <c r="B307" i="18"/>
  <c r="L314" i="19"/>
  <c r="I283" i="19"/>
  <c r="K293" i="16"/>
  <c r="K283" i="16"/>
  <c r="K284" i="16"/>
  <c r="O310" i="9"/>
  <c r="Q292" i="12"/>
  <c r="Q296" i="12"/>
  <c r="Q299" i="12"/>
  <c r="F290" i="12"/>
  <c r="F291" i="12"/>
  <c r="R299" i="12"/>
  <c r="R289" i="12"/>
  <c r="N288" i="12"/>
  <c r="N285" i="12"/>
  <c r="N290" i="12"/>
  <c r="J293" i="12"/>
  <c r="J297" i="12"/>
  <c r="J299" i="12"/>
  <c r="P319" i="18"/>
  <c r="P312" i="18"/>
  <c r="N313" i="17"/>
  <c r="N315" i="17"/>
  <c r="L310" i="17"/>
  <c r="L309" i="17"/>
  <c r="N315" i="12"/>
  <c r="N321" i="12"/>
  <c r="C317" i="17"/>
  <c r="C318" i="17"/>
  <c r="C319" i="17"/>
  <c r="C321" i="17"/>
  <c r="C324" i="17"/>
  <c r="C297" i="12"/>
  <c r="C292" i="12"/>
  <c r="C291" i="12"/>
  <c r="C290" i="12"/>
  <c r="C295" i="12"/>
  <c r="C300" i="12"/>
  <c r="C288" i="12"/>
  <c r="C287" i="12"/>
  <c r="C282" i="12"/>
  <c r="C285" i="12"/>
  <c r="C296" i="12"/>
  <c r="C284" i="12"/>
  <c r="C283" i="12"/>
  <c r="C289" i="12"/>
  <c r="C293" i="12"/>
  <c r="O308" i="17"/>
  <c r="I307" i="17"/>
  <c r="F309" i="18"/>
  <c r="H307" i="19"/>
  <c r="N313" i="19"/>
  <c r="K316" i="9"/>
  <c r="Q283" i="12"/>
  <c r="Q284" i="12"/>
  <c r="Q295" i="12"/>
  <c r="Q282" i="12"/>
  <c r="F298" i="12"/>
  <c r="F285" i="12"/>
  <c r="F283" i="12"/>
  <c r="F288" i="12"/>
  <c r="T309" i="12"/>
  <c r="T321" i="12"/>
  <c r="T315" i="12"/>
  <c r="T316" i="12"/>
  <c r="T324" i="12"/>
  <c r="L323" i="12"/>
  <c r="L307" i="12"/>
  <c r="L316" i="12"/>
  <c r="L317" i="12"/>
  <c r="L321" i="12"/>
  <c r="R282" i="12"/>
  <c r="R300" i="12"/>
  <c r="R284" i="12"/>
  <c r="R285" i="12"/>
  <c r="N287" i="12"/>
  <c r="N291" i="12"/>
  <c r="N293" i="12"/>
  <c r="N300" i="12"/>
  <c r="J285" i="12"/>
  <c r="J294" i="12"/>
  <c r="J290" i="12"/>
  <c r="J291" i="12"/>
  <c r="P297" i="12"/>
  <c r="S285" i="12"/>
  <c r="T310" i="12"/>
  <c r="T314" i="12"/>
  <c r="T317" i="12"/>
  <c r="T318" i="12"/>
  <c r="L311" i="12"/>
  <c r="L315" i="12"/>
  <c r="L318" i="12"/>
  <c r="L319" i="12"/>
  <c r="I312" i="18"/>
  <c r="I320" i="18"/>
  <c r="J300" i="19"/>
  <c r="J282" i="19"/>
  <c r="J295" i="19"/>
  <c r="I289" i="16"/>
  <c r="I299" i="16"/>
  <c r="I285" i="16"/>
  <c r="I291" i="16"/>
  <c r="C284" i="16"/>
  <c r="C294" i="16"/>
  <c r="C298" i="16"/>
  <c r="C285" i="16"/>
  <c r="C296" i="16"/>
  <c r="C283" i="16"/>
  <c r="D318" i="18"/>
  <c r="D322" i="18"/>
  <c r="D315" i="18"/>
  <c r="D309" i="18"/>
  <c r="D312" i="18"/>
  <c r="D313" i="18"/>
  <c r="I323" i="19"/>
  <c r="I320" i="19"/>
  <c r="I314" i="19"/>
  <c r="I324" i="19"/>
  <c r="I316" i="19"/>
  <c r="I321" i="19"/>
  <c r="H311" i="12"/>
  <c r="H317" i="12"/>
  <c r="H322" i="12"/>
  <c r="U294" i="12"/>
  <c r="U282" i="12"/>
  <c r="U297" i="12"/>
  <c r="U283" i="12"/>
  <c r="U295" i="12"/>
  <c r="U293" i="12"/>
  <c r="U300" i="12"/>
  <c r="U292" i="12"/>
  <c r="U288" i="12"/>
  <c r="U290" i="12"/>
  <c r="U284" i="12"/>
  <c r="U286" i="12"/>
  <c r="U291" i="12"/>
  <c r="G309" i="17"/>
  <c r="L314" i="17"/>
  <c r="L308" i="17"/>
  <c r="N311" i="17"/>
  <c r="D325" i="18"/>
  <c r="I314" i="18"/>
  <c r="G299" i="19"/>
  <c r="G291" i="19"/>
  <c r="G290" i="19"/>
  <c r="L295" i="19"/>
  <c r="L285" i="19"/>
  <c r="C323" i="18"/>
  <c r="C319" i="18"/>
  <c r="C309" i="18"/>
  <c r="C307" i="18"/>
  <c r="C325" i="18"/>
  <c r="C315" i="18"/>
  <c r="C317" i="18"/>
  <c r="C310" i="18"/>
  <c r="B298" i="19"/>
  <c r="B293" i="19"/>
  <c r="B283" i="19"/>
  <c r="B287" i="19"/>
  <c r="B296" i="19"/>
  <c r="F320" i="9"/>
  <c r="F313" i="9"/>
  <c r="O311" i="19"/>
  <c r="O307" i="19"/>
  <c r="N298" i="16"/>
  <c r="N288" i="16"/>
  <c r="O298" i="16"/>
  <c r="O287" i="16"/>
  <c r="O294" i="16"/>
  <c r="O295" i="16"/>
  <c r="O292" i="16"/>
  <c r="F325" i="12"/>
  <c r="F318" i="12"/>
  <c r="G307" i="12"/>
  <c r="G318" i="12"/>
  <c r="K313" i="18"/>
  <c r="K319" i="18"/>
  <c r="Q319" i="12"/>
  <c r="Q322" i="12"/>
  <c r="M298" i="16"/>
  <c r="M293" i="16"/>
  <c r="M299" i="16"/>
  <c r="M285" i="16"/>
  <c r="M292" i="16"/>
  <c r="M294" i="16"/>
  <c r="M283" i="16"/>
  <c r="M282" i="16"/>
  <c r="M300" i="16"/>
  <c r="M290" i="16"/>
  <c r="M287" i="16"/>
  <c r="M284" i="16"/>
  <c r="M291" i="16"/>
  <c r="P299" i="12"/>
  <c r="P291" i="12"/>
  <c r="P294" i="12"/>
  <c r="P289" i="12"/>
  <c r="P284" i="12"/>
  <c r="P295" i="12"/>
  <c r="P287" i="12"/>
  <c r="P290" i="12"/>
  <c r="P288" i="12"/>
  <c r="P298" i="12"/>
  <c r="P286" i="12"/>
  <c r="P293" i="12"/>
  <c r="P282" i="12"/>
  <c r="S295" i="12"/>
  <c r="S291" i="12"/>
  <c r="S286" i="12"/>
  <c r="S290" i="12"/>
  <c r="S297" i="12"/>
  <c r="S292" i="12"/>
  <c r="S287" i="12"/>
  <c r="S294" i="12"/>
  <c r="S282" i="12"/>
  <c r="S300" i="12"/>
  <c r="S283" i="12"/>
  <c r="S289" i="12"/>
  <c r="S296" i="12"/>
  <c r="S299" i="12"/>
  <c r="S298" i="12"/>
  <c r="E299" i="12"/>
  <c r="E290" i="12"/>
  <c r="E289" i="12"/>
  <c r="E287" i="12"/>
  <c r="E283" i="12"/>
  <c r="E298" i="12"/>
  <c r="E286" i="12"/>
  <c r="E285" i="12"/>
  <c r="E295" i="12"/>
  <c r="E300" i="12"/>
  <c r="E293" i="12"/>
  <c r="E284" i="12"/>
  <c r="E294" i="12"/>
  <c r="E288" i="12"/>
  <c r="E291" i="12"/>
  <c r="G317" i="17"/>
  <c r="G316" i="17"/>
  <c r="G322" i="17"/>
  <c r="O309" i="17"/>
  <c r="L325" i="17"/>
  <c r="C308" i="18"/>
  <c r="C324" i="18"/>
  <c r="F308" i="18"/>
  <c r="D310" i="18"/>
  <c r="K309" i="19"/>
  <c r="I317" i="19"/>
  <c r="J285" i="19"/>
  <c r="O320" i="19"/>
  <c r="L290" i="19"/>
  <c r="I293" i="16"/>
  <c r="C290" i="16"/>
  <c r="B324" i="9"/>
  <c r="E282" i="12"/>
  <c r="P292" i="12"/>
  <c r="P296" i="12"/>
  <c r="S288" i="12"/>
  <c r="U289" i="12"/>
  <c r="M296" i="16"/>
  <c r="N320" i="17"/>
  <c r="N323" i="17"/>
  <c r="N309" i="17"/>
  <c r="N312" i="17"/>
  <c r="H283" i="16"/>
  <c r="H286" i="16"/>
  <c r="H289" i="16"/>
  <c r="H297" i="16"/>
  <c r="M319" i="12"/>
  <c r="M324" i="12"/>
  <c r="M313" i="12"/>
  <c r="L315" i="17"/>
  <c r="L324" i="17"/>
  <c r="N324" i="12"/>
  <c r="N311" i="12"/>
  <c r="N313" i="12"/>
  <c r="N309" i="12"/>
  <c r="N325" i="12"/>
  <c r="N322" i="12"/>
  <c r="N307" i="12"/>
  <c r="N320" i="12"/>
  <c r="N316" i="12"/>
  <c r="N323" i="12"/>
  <c r="N314" i="12"/>
  <c r="N317" i="12"/>
  <c r="N319" i="12"/>
  <c r="N310" i="12"/>
  <c r="N308" i="12"/>
  <c r="G314" i="17"/>
  <c r="G325" i="17"/>
  <c r="L319" i="17"/>
  <c r="D319" i="18"/>
  <c r="I315" i="19"/>
  <c r="J288" i="19"/>
  <c r="I290" i="16"/>
  <c r="N312" i="12"/>
  <c r="U285" i="12"/>
  <c r="N320" i="19"/>
  <c r="N307" i="19"/>
  <c r="N323" i="19"/>
  <c r="N316" i="19"/>
  <c r="N311" i="19"/>
  <c r="F325" i="18"/>
  <c r="F322" i="18"/>
  <c r="F316" i="18"/>
  <c r="F317" i="18"/>
  <c r="F314" i="18"/>
  <c r="F323" i="18"/>
  <c r="F313" i="18"/>
  <c r="F312" i="18"/>
  <c r="F311" i="18"/>
  <c r="I324" i="17"/>
  <c r="I325" i="17"/>
  <c r="I314" i="17"/>
  <c r="I316" i="17"/>
  <c r="I320" i="17"/>
  <c r="I321" i="17"/>
  <c r="I317" i="17"/>
  <c r="I313" i="17"/>
  <c r="I312" i="17"/>
  <c r="H319" i="17"/>
  <c r="H308" i="17"/>
  <c r="H320" i="17"/>
  <c r="H310" i="17"/>
  <c r="H322" i="17"/>
  <c r="H323" i="17"/>
  <c r="H309" i="17"/>
  <c r="H307" i="17"/>
  <c r="O298" i="9"/>
  <c r="O284" i="9"/>
  <c r="O282" i="9"/>
  <c r="O294" i="9"/>
  <c r="O296" i="9"/>
  <c r="O300" i="9"/>
  <c r="O286" i="9"/>
  <c r="O291" i="9"/>
  <c r="F308" i="19"/>
  <c r="F315" i="19"/>
  <c r="F309" i="19"/>
  <c r="I288" i="12"/>
  <c r="I292" i="12"/>
  <c r="K320" i="9"/>
  <c r="K315" i="9"/>
  <c r="K309" i="9"/>
  <c r="K307" i="9"/>
  <c r="K322" i="9"/>
  <c r="K324" i="9"/>
  <c r="K325" i="9"/>
  <c r="K312" i="9"/>
  <c r="K321" i="9"/>
  <c r="K310" i="9"/>
  <c r="K313" i="9"/>
  <c r="K311" i="9"/>
  <c r="K323" i="9"/>
  <c r="K308" i="9"/>
  <c r="K317" i="9"/>
  <c r="L298" i="16"/>
  <c r="L286" i="16"/>
  <c r="L289" i="16"/>
  <c r="L287" i="16"/>
  <c r="L291" i="16"/>
  <c r="L294" i="16"/>
  <c r="L282" i="16"/>
  <c r="L285" i="16"/>
  <c r="L292" i="16"/>
  <c r="L299" i="16"/>
  <c r="L296" i="16"/>
  <c r="L284" i="16"/>
  <c r="L295" i="16"/>
  <c r="L293" i="16"/>
  <c r="L283" i="16"/>
  <c r="H299" i="12"/>
  <c r="H290" i="12"/>
  <c r="H293" i="12"/>
  <c r="H292" i="12"/>
  <c r="H283" i="12"/>
  <c r="H298" i="12"/>
  <c r="H286" i="12"/>
  <c r="H289" i="12"/>
  <c r="H284" i="12"/>
  <c r="H288" i="12"/>
  <c r="H294" i="12"/>
  <c r="H285" i="12"/>
  <c r="H287" i="12"/>
  <c r="H296" i="12"/>
  <c r="H297" i="12"/>
  <c r="G324" i="17"/>
  <c r="G311" i="17"/>
  <c r="O315" i="17"/>
  <c r="O314" i="17"/>
  <c r="L321" i="17"/>
  <c r="L323" i="17"/>
  <c r="I323" i="17"/>
  <c r="I318" i="17"/>
  <c r="N325" i="17"/>
  <c r="H324" i="17"/>
  <c r="K316" i="18"/>
  <c r="C321" i="18"/>
  <c r="C313" i="18"/>
  <c r="F307" i="18"/>
  <c r="F321" i="18"/>
  <c r="F320" i="18"/>
  <c r="D307" i="18"/>
  <c r="P325" i="18"/>
  <c r="I322" i="19"/>
  <c r="N310" i="19"/>
  <c r="N325" i="19"/>
  <c r="O321" i="19"/>
  <c r="L293" i="19"/>
  <c r="F323" i="19"/>
  <c r="C297" i="16"/>
  <c r="L297" i="16"/>
  <c r="F307" i="9"/>
  <c r="O295" i="9"/>
  <c r="F294" i="9"/>
  <c r="P316" i="9"/>
  <c r="K319" i="9"/>
  <c r="Q313" i="12"/>
  <c r="E297" i="12"/>
  <c r="H295" i="12"/>
  <c r="N318" i="12"/>
  <c r="O312" i="12"/>
  <c r="F311" i="12"/>
  <c r="P285" i="12"/>
  <c r="P300" i="12"/>
  <c r="H320" i="12"/>
  <c r="S293" i="12"/>
  <c r="U287" i="12"/>
  <c r="U298" i="12"/>
  <c r="H282" i="16"/>
  <c r="B265" i="7"/>
  <c r="B12" i="20" s="1"/>
  <c r="B182" i="18" s="1"/>
  <c r="D293" i="12"/>
  <c r="D288" i="12"/>
  <c r="F288" i="16"/>
  <c r="F297" i="16"/>
  <c r="F292" i="16"/>
  <c r="J319" i="18"/>
  <c r="J323" i="18"/>
  <c r="J316" i="18"/>
  <c r="J317" i="18"/>
  <c r="J318" i="18"/>
  <c r="J321" i="18"/>
  <c r="I316" i="9"/>
  <c r="I318" i="9"/>
  <c r="E285" i="16"/>
  <c r="E293" i="16"/>
  <c r="E291" i="16"/>
  <c r="L324" i="18"/>
  <c r="L316" i="18"/>
  <c r="L319" i="18"/>
  <c r="L310" i="18"/>
  <c r="L311" i="18"/>
  <c r="O296" i="19"/>
  <c r="O288" i="19"/>
  <c r="O292" i="19"/>
  <c r="O294" i="19"/>
  <c r="O293" i="19"/>
  <c r="C321" i="12"/>
  <c r="C317" i="12"/>
  <c r="C316" i="12"/>
  <c r="C310" i="12"/>
  <c r="C314" i="12"/>
  <c r="C313" i="12"/>
  <c r="C308" i="12"/>
  <c r="C307" i="12"/>
  <c r="C323" i="12"/>
  <c r="C312" i="12"/>
  <c r="C318" i="12"/>
  <c r="G323" i="18"/>
  <c r="G321" i="18"/>
  <c r="G320" i="18"/>
  <c r="G310" i="18"/>
  <c r="G313" i="18"/>
  <c r="G319" i="18"/>
  <c r="G316" i="18"/>
  <c r="G317" i="18"/>
  <c r="G309" i="18"/>
  <c r="G314" i="18"/>
  <c r="U324" i="12"/>
  <c r="U322" i="12"/>
  <c r="U311" i="12"/>
  <c r="U321" i="12"/>
  <c r="U309" i="12"/>
  <c r="U318" i="12"/>
  <c r="U314" i="12"/>
  <c r="U308" i="12"/>
  <c r="U319" i="12"/>
  <c r="U307" i="12"/>
  <c r="U312" i="12"/>
  <c r="D293" i="19"/>
  <c r="D287" i="19"/>
  <c r="D283" i="19"/>
  <c r="D298" i="19"/>
  <c r="D297" i="19"/>
  <c r="D285" i="19"/>
  <c r="D284" i="19"/>
  <c r="D295" i="19"/>
  <c r="D286" i="19"/>
  <c r="D300" i="19"/>
  <c r="D294" i="19"/>
  <c r="D282" i="19"/>
  <c r="D291" i="19"/>
  <c r="D290" i="19"/>
  <c r="D296" i="19"/>
  <c r="D315" i="17"/>
  <c r="D313" i="17"/>
  <c r="D311" i="17"/>
  <c r="D307" i="17"/>
  <c r="D319" i="17"/>
  <c r="D318" i="17"/>
  <c r="D320" i="17"/>
  <c r="D322" i="17"/>
  <c r="D309" i="17"/>
  <c r="D323" i="17"/>
  <c r="B324" i="19"/>
  <c r="B310" i="19"/>
  <c r="B316" i="19"/>
  <c r="B312" i="19"/>
  <c r="B319" i="19"/>
  <c r="B325" i="19"/>
  <c r="B317" i="19"/>
  <c r="B321" i="19"/>
  <c r="B315" i="19"/>
  <c r="B323" i="19"/>
  <c r="B313" i="19"/>
  <c r="B320" i="19"/>
  <c r="B311" i="19"/>
  <c r="D314" i="17"/>
  <c r="D317" i="17"/>
  <c r="D325" i="17"/>
  <c r="J314" i="18"/>
  <c r="L307" i="18"/>
  <c r="L325" i="18"/>
  <c r="G311" i="18"/>
  <c r="G322" i="18"/>
  <c r="B307" i="19"/>
  <c r="B314" i="19"/>
  <c r="F283" i="16"/>
  <c r="U320" i="12"/>
  <c r="U317" i="12"/>
  <c r="C315" i="12"/>
  <c r="C309" i="12"/>
  <c r="B285" i="12"/>
  <c r="D292" i="19"/>
  <c r="E320" i="19"/>
  <c r="E312" i="19"/>
  <c r="E314" i="19"/>
  <c r="E307" i="19"/>
  <c r="E317" i="19"/>
  <c r="E310" i="19"/>
  <c r="I321" i="18"/>
  <c r="I316" i="18"/>
  <c r="I318" i="18"/>
  <c r="I307" i="18"/>
  <c r="I325" i="18"/>
  <c r="I319" i="18"/>
  <c r="I313" i="18"/>
  <c r="I311" i="18"/>
  <c r="D295" i="9"/>
  <c r="D282" i="9"/>
  <c r="D310" i="17"/>
  <c r="D324" i="17"/>
  <c r="J308" i="18"/>
  <c r="L309" i="18"/>
  <c r="I309" i="18"/>
  <c r="I324" i="18"/>
  <c r="G315" i="18"/>
  <c r="G308" i="18"/>
  <c r="G325" i="18"/>
  <c r="O297" i="19"/>
  <c r="B322" i="19"/>
  <c r="B318" i="19"/>
  <c r="E313" i="19"/>
  <c r="E282" i="16"/>
  <c r="C312" i="9"/>
  <c r="U313" i="12"/>
  <c r="U323" i="12"/>
  <c r="D308" i="17"/>
  <c r="D321" i="17"/>
  <c r="J325" i="18"/>
  <c r="L322" i="18"/>
  <c r="I310" i="18"/>
  <c r="G324" i="18"/>
  <c r="G312" i="18"/>
  <c r="O295" i="19"/>
  <c r="B308" i="19"/>
  <c r="E298" i="16"/>
  <c r="C325" i="9"/>
  <c r="U310" i="12"/>
  <c r="U325" i="12"/>
  <c r="C311" i="12"/>
  <c r="C324" i="12"/>
  <c r="F298" i="16"/>
  <c r="C319" i="12"/>
  <c r="C320" i="12"/>
  <c r="B323" i="17"/>
  <c r="B311" i="17"/>
  <c r="B322" i="17"/>
  <c r="B315" i="17"/>
  <c r="B319" i="17"/>
  <c r="B314" i="17"/>
  <c r="B320" i="17"/>
  <c r="B313" i="17"/>
  <c r="B307" i="17"/>
  <c r="L298" i="9"/>
  <c r="L285" i="9"/>
  <c r="L290" i="9"/>
  <c r="I294" i="16"/>
  <c r="I282" i="16"/>
  <c r="I297" i="16"/>
  <c r="I283" i="16"/>
  <c r="C300" i="16"/>
  <c r="C288" i="16"/>
  <c r="C291" i="16"/>
  <c r="C282" i="16"/>
  <c r="C286" i="16"/>
  <c r="M308" i="12"/>
  <c r="M321" i="12"/>
  <c r="H319" i="12"/>
  <c r="H310" i="12"/>
  <c r="H316" i="12"/>
  <c r="G310" i="17"/>
  <c r="G320" i="17"/>
  <c r="G318" i="17"/>
  <c r="G319" i="17"/>
  <c r="L313" i="17"/>
  <c r="L312" i="17"/>
  <c r="L317" i="17"/>
  <c r="L311" i="17"/>
  <c r="L322" i="17"/>
  <c r="D321" i="18"/>
  <c r="D320" i="18"/>
  <c r="D311" i="18"/>
  <c r="D317" i="18"/>
  <c r="D323" i="18"/>
  <c r="I310" i="19"/>
  <c r="I311" i="19"/>
  <c r="I308" i="19"/>
  <c r="I309" i="19"/>
  <c r="I325" i="19"/>
  <c r="I287" i="16"/>
  <c r="I284" i="16"/>
  <c r="I300" i="16"/>
  <c r="I298" i="16"/>
  <c r="C295" i="16"/>
  <c r="C287" i="16"/>
  <c r="C292" i="16"/>
  <c r="G308" i="17"/>
  <c r="G313" i="17"/>
  <c r="G321" i="17"/>
  <c r="G307" i="17"/>
  <c r="L316" i="17"/>
  <c r="L318" i="17"/>
  <c r="L320" i="17"/>
  <c r="D316" i="18"/>
  <c r="D314" i="18"/>
  <c r="D324" i="18"/>
  <c r="I318" i="19"/>
  <c r="I319" i="19"/>
  <c r="I312" i="19"/>
  <c r="I313" i="19"/>
  <c r="I296" i="16"/>
  <c r="I292" i="16"/>
  <c r="I286" i="16"/>
  <c r="I295" i="16"/>
  <c r="C289" i="16"/>
  <c r="C293" i="16"/>
  <c r="C299" i="16"/>
  <c r="M317" i="12"/>
  <c r="M312" i="12"/>
  <c r="H307" i="12"/>
  <c r="H300" i="16"/>
  <c r="H318" i="19"/>
  <c r="H317" i="19"/>
  <c r="H319" i="19"/>
  <c r="C298" i="19"/>
  <c r="C299" i="19"/>
  <c r="C297" i="19"/>
  <c r="M307" i="12"/>
  <c r="H321" i="12"/>
  <c r="H285" i="16"/>
  <c r="H292" i="16"/>
  <c r="N309" i="19"/>
  <c r="N312" i="19"/>
  <c r="N319" i="19"/>
  <c r="L322" i="19"/>
  <c r="L310" i="19"/>
  <c r="L297" i="19"/>
  <c r="L284" i="19"/>
  <c r="J319" i="9"/>
  <c r="J309" i="9"/>
  <c r="P311" i="17"/>
  <c r="P309" i="17"/>
  <c r="P318" i="17"/>
  <c r="P324" i="17"/>
  <c r="P316" i="17"/>
  <c r="G317" i="19"/>
  <c r="K318" i="19"/>
  <c r="K321" i="19"/>
  <c r="K308" i="19"/>
  <c r="K310" i="19"/>
  <c r="K316" i="19"/>
  <c r="M296" i="19"/>
  <c r="M294" i="19"/>
  <c r="M297" i="19"/>
  <c r="M290" i="19"/>
  <c r="H318" i="18"/>
  <c r="H325" i="18"/>
  <c r="H319" i="18"/>
  <c r="H315" i="18"/>
  <c r="H320" i="18"/>
  <c r="H316" i="18"/>
  <c r="I299" i="12"/>
  <c r="I284" i="12"/>
  <c r="I287" i="12"/>
  <c r="I289" i="12"/>
  <c r="I297" i="12"/>
  <c r="I294" i="12"/>
  <c r="I298" i="12"/>
  <c r="I283" i="12"/>
  <c r="I286" i="12"/>
  <c r="I296" i="12"/>
  <c r="I291" i="12"/>
  <c r="I285" i="12"/>
  <c r="I300" i="12"/>
  <c r="I295" i="12"/>
  <c r="I293" i="12"/>
  <c r="F316" i="9"/>
  <c r="F310" i="9"/>
  <c r="F312" i="9"/>
  <c r="F319" i="9"/>
  <c r="F321" i="9"/>
  <c r="F323" i="9"/>
  <c r="F322" i="9"/>
  <c r="F318" i="9"/>
  <c r="F308" i="9"/>
  <c r="F314" i="9"/>
  <c r="F311" i="9"/>
  <c r="F315" i="9"/>
  <c r="F317" i="9"/>
  <c r="O325" i="19"/>
  <c r="O312" i="19"/>
  <c r="O315" i="19"/>
  <c r="O318" i="19"/>
  <c r="O309" i="19"/>
  <c r="O324" i="19"/>
  <c r="O316" i="19"/>
  <c r="O319" i="19"/>
  <c r="O314" i="19"/>
  <c r="O317" i="19"/>
  <c r="N294" i="16"/>
  <c r="N283" i="16"/>
  <c r="N282" i="16"/>
  <c r="N296" i="16"/>
  <c r="N300" i="16"/>
  <c r="N285" i="16"/>
  <c r="N295" i="16"/>
  <c r="N287" i="16"/>
  <c r="N299" i="16"/>
  <c r="N286" i="16"/>
  <c r="N293" i="16"/>
  <c r="N284" i="16"/>
  <c r="N297" i="16"/>
  <c r="O293" i="16"/>
  <c r="O299" i="16"/>
  <c r="O296" i="16"/>
  <c r="O282" i="16"/>
  <c r="O297" i="16"/>
  <c r="O285" i="16"/>
  <c r="O284" i="16"/>
  <c r="O290" i="16"/>
  <c r="O286" i="16"/>
  <c r="O322" i="12"/>
  <c r="O314" i="12"/>
  <c r="O309" i="12"/>
  <c r="O316" i="12"/>
  <c r="O315" i="12"/>
  <c r="O318" i="12"/>
  <c r="O310" i="12"/>
  <c r="O320" i="12"/>
  <c r="O307" i="12"/>
  <c r="O325" i="12"/>
  <c r="O323" i="12"/>
  <c r="O308" i="12"/>
  <c r="O317" i="12"/>
  <c r="O311" i="12"/>
  <c r="F320" i="12"/>
  <c r="F309" i="12"/>
  <c r="F323" i="12"/>
  <c r="F314" i="12"/>
  <c r="F321" i="12"/>
  <c r="F319" i="12"/>
  <c r="F316" i="12"/>
  <c r="F315" i="12"/>
  <c r="F310" i="12"/>
  <c r="F317" i="12"/>
  <c r="F307" i="12"/>
  <c r="F324" i="12"/>
  <c r="F308" i="12"/>
  <c r="F322" i="12"/>
  <c r="E318" i="12"/>
  <c r="E307" i="12"/>
  <c r="E317" i="12"/>
  <c r="E324" i="12"/>
  <c r="E323" i="12"/>
  <c r="E321" i="12"/>
  <c r="E320" i="12"/>
  <c r="E309" i="12"/>
  <c r="E312" i="12"/>
  <c r="E322" i="12"/>
  <c r="E310" i="12"/>
  <c r="E313" i="12"/>
  <c r="E319" i="12"/>
  <c r="E314" i="12"/>
  <c r="E325" i="12"/>
  <c r="G325" i="12"/>
  <c r="G319" i="12"/>
  <c r="G315" i="12"/>
  <c r="G314" i="12"/>
  <c r="G317" i="12"/>
  <c r="G324" i="12"/>
  <c r="G316" i="12"/>
  <c r="G311" i="12"/>
  <c r="G321" i="12"/>
  <c r="G322" i="12"/>
  <c r="G308" i="12"/>
  <c r="G310" i="12"/>
  <c r="G312" i="12"/>
  <c r="G313" i="12"/>
  <c r="K321" i="18"/>
  <c r="K307" i="18"/>
  <c r="K310" i="18"/>
  <c r="K312" i="18"/>
  <c r="K318" i="18"/>
  <c r="K311" i="18"/>
  <c r="K314" i="18"/>
  <c r="K315" i="18"/>
  <c r="K308" i="18"/>
  <c r="Q324" i="12"/>
  <c r="Q318" i="12"/>
  <c r="Q307" i="12"/>
  <c r="Q325" i="12"/>
  <c r="Q308" i="12"/>
  <c r="Q323" i="12"/>
  <c r="Q321" i="12"/>
  <c r="Q320" i="12"/>
  <c r="Q309" i="12"/>
  <c r="Q312" i="12"/>
  <c r="Q311" i="12"/>
  <c r="Q316" i="12"/>
  <c r="Q315" i="12"/>
  <c r="Q317" i="12"/>
  <c r="O319" i="17"/>
  <c r="O317" i="17"/>
  <c r="O316" i="17"/>
  <c r="P317" i="17"/>
  <c r="K309" i="18"/>
  <c r="K323" i="18"/>
  <c r="K322" i="18"/>
  <c r="H317" i="18"/>
  <c r="K307" i="19"/>
  <c r="K323" i="19"/>
  <c r="M293" i="19"/>
  <c r="O313" i="19"/>
  <c r="O323" i="19"/>
  <c r="O322" i="19"/>
  <c r="O283" i="16"/>
  <c r="O289" i="16"/>
  <c r="N298" i="9"/>
  <c r="F325" i="9"/>
  <c r="F324" i="9"/>
  <c r="Q310" i="12"/>
  <c r="E308" i="12"/>
  <c r="G323" i="12"/>
  <c r="O321" i="12"/>
  <c r="F312" i="12"/>
  <c r="I282" i="12"/>
  <c r="M297" i="9"/>
  <c r="M282" i="9"/>
  <c r="M292" i="9"/>
  <c r="N290" i="16"/>
  <c r="G319" i="19"/>
  <c r="G307" i="19"/>
  <c r="G316" i="19"/>
  <c r="G311" i="19"/>
  <c r="G323" i="19"/>
  <c r="H285" i="9"/>
  <c r="H298" i="9"/>
  <c r="B284" i="9"/>
  <c r="B298" i="9"/>
  <c r="B300" i="9"/>
  <c r="B290" i="9"/>
  <c r="O321" i="17"/>
  <c r="O310" i="17"/>
  <c r="O307" i="17"/>
  <c r="O311" i="17"/>
  <c r="O322" i="17"/>
  <c r="O312" i="17"/>
  <c r="O313" i="17"/>
  <c r="O324" i="17"/>
  <c r="O325" i="17"/>
  <c r="P322" i="17"/>
  <c r="K320" i="18"/>
  <c r="K324" i="18"/>
  <c r="K325" i="18"/>
  <c r="H313" i="18"/>
  <c r="H322" i="18"/>
  <c r="K319" i="19"/>
  <c r="K324" i="19"/>
  <c r="M298" i="19"/>
  <c r="O310" i="19"/>
  <c r="O308" i="19"/>
  <c r="O291" i="16"/>
  <c r="O300" i="16"/>
  <c r="F309" i="9"/>
  <c r="Q314" i="12"/>
  <c r="E316" i="12"/>
  <c r="G309" i="12"/>
  <c r="G320" i="12"/>
  <c r="O319" i="12"/>
  <c r="O324" i="12"/>
  <c r="F313" i="12"/>
  <c r="I290" i="12"/>
  <c r="N291" i="16"/>
  <c r="N318" i="9"/>
  <c r="N309" i="9"/>
  <c r="H325" i="9"/>
  <c r="H323" i="9"/>
  <c r="H316" i="9"/>
  <c r="H311" i="9"/>
  <c r="H313" i="9"/>
  <c r="H319" i="9"/>
  <c r="H312" i="9"/>
  <c r="H310" i="9"/>
  <c r="H314" i="9"/>
  <c r="H322" i="9"/>
  <c r="H309" i="9"/>
  <c r="H317" i="9"/>
  <c r="B321" i="18"/>
  <c r="B325" i="18"/>
  <c r="B314" i="18"/>
  <c r="B308" i="18"/>
  <c r="B312" i="18"/>
  <c r="B319" i="18"/>
  <c r="B309" i="18"/>
  <c r="B323" i="18"/>
  <c r="I298" i="9"/>
  <c r="I299" i="9"/>
  <c r="I289" i="9"/>
  <c r="I287" i="9"/>
  <c r="I283" i="9"/>
  <c r="I296" i="9"/>
  <c r="I284" i="9"/>
  <c r="I291" i="9"/>
  <c r="N317" i="17"/>
  <c r="N324" i="17"/>
  <c r="N308" i="17"/>
  <c r="N307" i="17"/>
  <c r="N319" i="17"/>
  <c r="N310" i="17"/>
  <c r="N322" i="17"/>
  <c r="N321" i="17"/>
  <c r="C316" i="9"/>
  <c r="C313" i="9"/>
  <c r="C321" i="9"/>
  <c r="C317" i="9"/>
  <c r="D287" i="9"/>
  <c r="D300" i="9"/>
  <c r="D288" i="9"/>
  <c r="D286" i="9"/>
  <c r="M307" i="18"/>
  <c r="M318" i="18"/>
  <c r="M321" i="18"/>
  <c r="H288" i="16"/>
  <c r="H293" i="16"/>
  <c r="H294" i="16"/>
  <c r="H299" i="16"/>
  <c r="H287" i="16"/>
  <c r="H284" i="16"/>
  <c r="H290" i="16"/>
  <c r="H295" i="16"/>
  <c r="H296" i="16"/>
  <c r="H298" i="16"/>
  <c r="H291" i="16"/>
  <c r="M325" i="12"/>
  <c r="M318" i="12"/>
  <c r="M315" i="12"/>
  <c r="M322" i="12"/>
  <c r="M309" i="12"/>
  <c r="M320" i="12"/>
  <c r="M316" i="12"/>
  <c r="M311" i="12"/>
  <c r="M314" i="12"/>
  <c r="M310" i="12"/>
  <c r="H325" i="12"/>
  <c r="H318" i="12"/>
  <c r="H324" i="12"/>
  <c r="H313" i="12"/>
  <c r="H308" i="12"/>
  <c r="H323" i="12"/>
  <c r="H315" i="12"/>
  <c r="H314" i="12"/>
  <c r="H312" i="12"/>
  <c r="H309" i="12"/>
  <c r="M320" i="18"/>
  <c r="M316" i="18"/>
  <c r="P292" i="9"/>
  <c r="P291" i="9"/>
  <c r="G302" i="12"/>
  <c r="D299" i="19"/>
  <c r="D289" i="19"/>
  <c r="J321" i="19"/>
  <c r="J315" i="19"/>
  <c r="J314" i="19"/>
  <c r="J309" i="19"/>
  <c r="J316" i="19"/>
  <c r="J324" i="19"/>
  <c r="J311" i="19"/>
  <c r="J310" i="19"/>
  <c r="J320" i="19"/>
  <c r="J308" i="19"/>
  <c r="D323" i="9"/>
  <c r="D316" i="9"/>
  <c r="D312" i="9"/>
  <c r="D314" i="9"/>
  <c r="D325" i="9"/>
  <c r="D319" i="9"/>
  <c r="D313" i="9"/>
  <c r="D308" i="9"/>
  <c r="D310" i="9"/>
  <c r="D320" i="9"/>
  <c r="D317" i="9"/>
  <c r="D321" i="9"/>
  <c r="D315" i="9"/>
  <c r="D322" i="9"/>
  <c r="E300" i="19"/>
  <c r="E292" i="19"/>
  <c r="E298" i="19"/>
  <c r="E286" i="19"/>
  <c r="E294" i="19"/>
  <c r="E318" i="18"/>
  <c r="E323" i="18"/>
  <c r="E321" i="18"/>
  <c r="E282" i="19"/>
  <c r="E291" i="19"/>
  <c r="E297" i="19"/>
  <c r="J289" i="19"/>
  <c r="N292" i="19"/>
  <c r="G292" i="19"/>
  <c r="G298" i="19"/>
  <c r="J319" i="19"/>
  <c r="F325" i="19"/>
  <c r="I295" i="19"/>
  <c r="I294" i="19"/>
  <c r="K290" i="19"/>
  <c r="B285" i="16"/>
  <c r="P320" i="9"/>
  <c r="D311" i="9"/>
  <c r="K300" i="19"/>
  <c r="N300" i="9"/>
  <c r="N291" i="9"/>
  <c r="N294" i="9"/>
  <c r="N289" i="9"/>
  <c r="N292" i="9"/>
  <c r="N296" i="9"/>
  <c r="N287" i="9"/>
  <c r="N290" i="9"/>
  <c r="N288" i="9"/>
  <c r="N284" i="9"/>
  <c r="N293" i="9"/>
  <c r="N282" i="9"/>
  <c r="N283" i="9"/>
  <c r="N295" i="9"/>
  <c r="K294" i="19"/>
  <c r="E299" i="9"/>
  <c r="E285" i="9"/>
  <c r="E284" i="9"/>
  <c r="E296" i="9"/>
  <c r="E295" i="9"/>
  <c r="E298" i="9"/>
  <c r="E300" i="9"/>
  <c r="E297" i="9"/>
  <c r="E293" i="9"/>
  <c r="E287" i="9"/>
  <c r="E292" i="9"/>
  <c r="E290" i="9"/>
  <c r="E288" i="9"/>
  <c r="E282" i="9"/>
  <c r="G323" i="9"/>
  <c r="G313" i="9"/>
  <c r="G312" i="9"/>
  <c r="G311" i="9"/>
  <c r="G324" i="9"/>
  <c r="G319" i="9"/>
  <c r="G309" i="9"/>
  <c r="G308" i="9"/>
  <c r="G310" i="9"/>
  <c r="G315" i="9"/>
  <c r="G318" i="9"/>
  <c r="G322" i="9"/>
  <c r="G317" i="9"/>
  <c r="O322" i="9"/>
  <c r="O320" i="9"/>
  <c r="O319" i="9"/>
  <c r="O309" i="9"/>
  <c r="O323" i="9"/>
  <c r="O318" i="9"/>
  <c r="O315" i="9"/>
  <c r="O316" i="9"/>
  <c r="O308" i="9"/>
  <c r="O325" i="9"/>
  <c r="O311" i="9"/>
  <c r="O312" i="9"/>
  <c r="O324" i="9"/>
  <c r="O307" i="9"/>
  <c r="O313" i="9"/>
  <c r="H287" i="19"/>
  <c r="H293" i="19"/>
  <c r="H283" i="19"/>
  <c r="H292" i="19"/>
  <c r="H291" i="19"/>
  <c r="H282" i="19"/>
  <c r="H285" i="19"/>
  <c r="H298" i="19"/>
  <c r="H289" i="19"/>
  <c r="H300" i="19"/>
  <c r="H299" i="19"/>
  <c r="H295" i="19"/>
  <c r="H290" i="19"/>
  <c r="H294" i="19"/>
  <c r="L323" i="19"/>
  <c r="L313" i="19"/>
  <c r="L316" i="19"/>
  <c r="L319" i="19"/>
  <c r="L318" i="19"/>
  <c r="L300" i="19"/>
  <c r="L291" i="19"/>
  <c r="L292" i="19"/>
  <c r="L299" i="19"/>
  <c r="L287" i="19"/>
  <c r="L289" i="19"/>
  <c r="L296" i="19"/>
  <c r="L288" i="19"/>
  <c r="B298" i="12"/>
  <c r="B293" i="12"/>
  <c r="B296" i="12"/>
  <c r="B291" i="12"/>
  <c r="B282" i="12"/>
  <c r="B297" i="12"/>
  <c r="B289" i="12"/>
  <c r="B292" i="12"/>
  <c r="B283" i="12"/>
  <c r="B287" i="12"/>
  <c r="B300" i="12"/>
  <c r="B288" i="12"/>
  <c r="B286" i="12"/>
  <c r="B295" i="12"/>
  <c r="B284" i="12"/>
  <c r="D300" i="12"/>
  <c r="D296" i="12"/>
  <c r="D297" i="12"/>
  <c r="D282" i="12"/>
  <c r="D285" i="12"/>
  <c r="D299" i="12"/>
  <c r="D291" i="12"/>
  <c r="D294" i="12"/>
  <c r="D289" i="12"/>
  <c r="D292" i="12"/>
  <c r="D295" i="12"/>
  <c r="D290" i="12"/>
  <c r="D284" i="12"/>
  <c r="D298" i="12"/>
  <c r="D286" i="12"/>
  <c r="F293" i="16"/>
  <c r="F285" i="16"/>
  <c r="F284" i="16"/>
  <c r="F300" i="16"/>
  <c r="F290" i="16"/>
  <c r="F296" i="16"/>
  <c r="F295" i="16"/>
  <c r="F287" i="16"/>
  <c r="F291" i="16"/>
  <c r="I324" i="9"/>
  <c r="I321" i="9"/>
  <c r="I307" i="9"/>
  <c r="I309" i="9"/>
  <c r="I315" i="9"/>
  <c r="I325" i="9"/>
  <c r="I317" i="9"/>
  <c r="I319" i="9"/>
  <c r="I323" i="9"/>
  <c r="I313" i="9"/>
  <c r="I311" i="9"/>
  <c r="I308" i="9"/>
  <c r="I322" i="9"/>
  <c r="I314" i="9"/>
  <c r="I312" i="9"/>
  <c r="E299" i="16"/>
  <c r="E297" i="16"/>
  <c r="E296" i="16"/>
  <c r="E287" i="16"/>
  <c r="E283" i="16"/>
  <c r="E295" i="16"/>
  <c r="E290" i="16"/>
  <c r="E289" i="16"/>
  <c r="E292" i="16"/>
  <c r="E300" i="16"/>
  <c r="P308" i="17"/>
  <c r="P320" i="17"/>
  <c r="P323" i="17"/>
  <c r="J320" i="18"/>
  <c r="J307" i="18"/>
  <c r="J312" i="18"/>
  <c r="J322" i="18"/>
  <c r="L318" i="18"/>
  <c r="L312" i="18"/>
  <c r="L313" i="18"/>
  <c r="L314" i="18"/>
  <c r="L321" i="18"/>
  <c r="P316" i="18"/>
  <c r="E319" i="18"/>
  <c r="E312" i="18"/>
  <c r="E310" i="18"/>
  <c r="E316" i="18"/>
  <c r="C314" i="19"/>
  <c r="E290" i="19"/>
  <c r="E289" i="19"/>
  <c r="E295" i="19"/>
  <c r="O283" i="19"/>
  <c r="O287" i="19"/>
  <c r="O286" i="19"/>
  <c r="L307" i="19"/>
  <c r="L308" i="19"/>
  <c r="L309" i="19"/>
  <c r="J293" i="19"/>
  <c r="J287" i="19"/>
  <c r="N284" i="19"/>
  <c r="N295" i="19"/>
  <c r="N283" i="19"/>
  <c r="G294" i="19"/>
  <c r="G283" i="19"/>
  <c r="G293" i="19"/>
  <c r="L286" i="19"/>
  <c r="L283" i="19"/>
  <c r="J313" i="19"/>
  <c r="J323" i="19"/>
  <c r="F310" i="19"/>
  <c r="I298" i="19"/>
  <c r="K282" i="19"/>
  <c r="K299" i="19"/>
  <c r="K292" i="19"/>
  <c r="F286" i="16"/>
  <c r="F289" i="16"/>
  <c r="B283" i="16"/>
  <c r="E284" i="16"/>
  <c r="E286" i="16"/>
  <c r="G314" i="9"/>
  <c r="G325" i="9"/>
  <c r="N299" i="9"/>
  <c r="E289" i="9"/>
  <c r="O317" i="9"/>
  <c r="I310" i="9"/>
  <c r="D307" i="9"/>
  <c r="D283" i="12"/>
  <c r="B290" i="12"/>
  <c r="H296" i="19"/>
  <c r="N317" i="19"/>
  <c r="N321" i="19"/>
  <c r="N308" i="19"/>
  <c r="N322" i="19"/>
  <c r="N318" i="19"/>
  <c r="H288" i="19"/>
  <c r="G297" i="9"/>
  <c r="G291" i="9"/>
  <c r="G289" i="9"/>
  <c r="G283" i="9"/>
  <c r="G285" i="9"/>
  <c r="G282" i="9"/>
  <c r="G300" i="9"/>
  <c r="G294" i="9"/>
  <c r="N297" i="19"/>
  <c r="N296" i="19"/>
  <c r="N294" i="19"/>
  <c r="N282" i="19"/>
  <c r="N286" i="19"/>
  <c r="G295" i="19"/>
  <c r="G285" i="19"/>
  <c r="G284" i="19"/>
  <c r="G300" i="19"/>
  <c r="P324" i="9"/>
  <c r="P319" i="9"/>
  <c r="P313" i="9"/>
  <c r="P325" i="9"/>
  <c r="P323" i="9"/>
  <c r="P321" i="9"/>
  <c r="P314" i="9"/>
  <c r="P309" i="9"/>
  <c r="P322" i="9"/>
  <c r="P315" i="9"/>
  <c r="P310" i="9"/>
  <c r="P307" i="9"/>
  <c r="P318" i="9"/>
  <c r="P312" i="9"/>
  <c r="F316" i="19"/>
  <c r="F321" i="19"/>
  <c r="F307" i="19"/>
  <c r="F314" i="19"/>
  <c r="F322" i="19"/>
  <c r="F312" i="19"/>
  <c r="F319" i="19"/>
  <c r="F318" i="19"/>
  <c r="F317" i="19"/>
  <c r="J298" i="19"/>
  <c r="J292" i="19"/>
  <c r="J291" i="19"/>
  <c r="J286" i="19"/>
  <c r="J290" i="19"/>
  <c r="I300" i="19"/>
  <c r="I291" i="19"/>
  <c r="I289" i="19"/>
  <c r="I292" i="19"/>
  <c r="I286" i="19"/>
  <c r="I293" i="19"/>
  <c r="I287" i="19"/>
  <c r="I285" i="19"/>
  <c r="I290" i="19"/>
  <c r="I284" i="19"/>
  <c r="O297" i="12"/>
  <c r="O289" i="12"/>
  <c r="O288" i="12"/>
  <c r="O283" i="12"/>
  <c r="O294" i="12"/>
  <c r="O293" i="12"/>
  <c r="O285" i="12"/>
  <c r="O284" i="12"/>
  <c r="O290" i="12"/>
  <c r="O286" i="12"/>
  <c r="O299" i="12"/>
  <c r="O282" i="12"/>
  <c r="O298" i="12"/>
  <c r="O292" i="12"/>
  <c r="O287" i="12"/>
  <c r="G302" i="16"/>
  <c r="B293" i="16"/>
  <c r="B299" i="16"/>
  <c r="B296" i="16"/>
  <c r="B282" i="16"/>
  <c r="B295" i="16"/>
  <c r="B300" i="16"/>
  <c r="B292" i="16"/>
  <c r="B291" i="16"/>
  <c r="B287" i="16"/>
  <c r="K285" i="19"/>
  <c r="K293" i="19"/>
  <c r="K283" i="19"/>
  <c r="K298" i="19"/>
  <c r="K291" i="19"/>
  <c r="K297" i="19"/>
  <c r="K289" i="19"/>
  <c r="K287" i="19"/>
  <c r="K295" i="19"/>
  <c r="E308" i="18"/>
  <c r="E322" i="18"/>
  <c r="E285" i="19"/>
  <c r="J284" i="19"/>
  <c r="J283" i="19"/>
  <c r="J299" i="19"/>
  <c r="N289" i="19"/>
  <c r="N299" i="19"/>
  <c r="G288" i="19"/>
  <c r="G289" i="19"/>
  <c r="J317" i="19"/>
  <c r="F324" i="19"/>
  <c r="K284" i="19"/>
  <c r="K296" i="19"/>
  <c r="B290" i="16"/>
  <c r="P311" i="9"/>
  <c r="D324" i="9"/>
  <c r="O300" i="12"/>
  <c r="L324" i="9"/>
  <c r="L317" i="9"/>
  <c r="L309" i="9"/>
  <c r="B294" i="9"/>
  <c r="B295" i="9"/>
  <c r="B287" i="9"/>
  <c r="B291" i="9"/>
  <c r="B282" i="9"/>
  <c r="B297" i="9"/>
  <c r="B292" i="9"/>
  <c r="B286" i="9"/>
  <c r="B283" i="9"/>
  <c r="B289" i="9"/>
  <c r="B296" i="9"/>
  <c r="B285" i="9"/>
  <c r="B293" i="9"/>
  <c r="O300" i="19"/>
  <c r="O298" i="19"/>
  <c r="O282" i="19"/>
  <c r="O289" i="19"/>
  <c r="O285" i="19"/>
  <c r="P313" i="17"/>
  <c r="P325" i="17"/>
  <c r="P312" i="17"/>
  <c r="P307" i="17"/>
  <c r="P319" i="17"/>
  <c r="P315" i="17"/>
  <c r="J310" i="18"/>
  <c r="J313" i="18"/>
  <c r="J311" i="18"/>
  <c r="J315" i="18"/>
  <c r="L308" i="18"/>
  <c r="L315" i="18"/>
  <c r="L317" i="18"/>
  <c r="L323" i="18"/>
  <c r="P310" i="18"/>
  <c r="P323" i="18"/>
  <c r="E307" i="18"/>
  <c r="E311" i="18"/>
  <c r="E309" i="18"/>
  <c r="E314" i="18"/>
  <c r="C319" i="19"/>
  <c r="E284" i="19"/>
  <c r="E283" i="19"/>
  <c r="E293" i="19"/>
  <c r="O291" i="19"/>
  <c r="O284" i="19"/>
  <c r="O290" i="19"/>
  <c r="O299" i="19"/>
  <c r="L315" i="19"/>
  <c r="L312" i="19"/>
  <c r="L317" i="19"/>
  <c r="J296" i="19"/>
  <c r="J294" i="19"/>
  <c r="J297" i="19"/>
  <c r="N298" i="19"/>
  <c r="N290" i="19"/>
  <c r="N287" i="19"/>
  <c r="N300" i="19"/>
  <c r="G282" i="19"/>
  <c r="G287" i="19"/>
  <c r="G296" i="19"/>
  <c r="L282" i="19"/>
  <c r="L294" i="19"/>
  <c r="L298" i="19"/>
  <c r="J312" i="19"/>
  <c r="J318" i="19"/>
  <c r="J325" i="19"/>
  <c r="F313" i="19"/>
  <c r="F311" i="19"/>
  <c r="F320" i="19"/>
  <c r="I288" i="19"/>
  <c r="I296" i="19"/>
  <c r="I297" i="19"/>
  <c r="F299" i="16"/>
  <c r="F294" i="16"/>
  <c r="B286" i="16"/>
  <c r="B284" i="16"/>
  <c r="B297" i="16"/>
  <c r="E288" i="16"/>
  <c r="E294" i="16"/>
  <c r="G307" i="9"/>
  <c r="G320" i="9"/>
  <c r="N285" i="9"/>
  <c r="N297" i="9"/>
  <c r="E286" i="9"/>
  <c r="E294" i="9"/>
  <c r="O321" i="9"/>
  <c r="B288" i="9"/>
  <c r="P317" i="9"/>
  <c r="I320" i="9"/>
  <c r="D309" i="9"/>
  <c r="D287" i="12"/>
  <c r="O296" i="12"/>
  <c r="B294" i="12"/>
  <c r="O297" i="9"/>
  <c r="O292" i="9"/>
  <c r="O293" i="9"/>
  <c r="O283" i="9"/>
  <c r="O299" i="9"/>
  <c r="O289" i="9"/>
  <c r="O288" i="9"/>
  <c r="O287" i="9"/>
  <c r="O290" i="9"/>
  <c r="M299" i="12"/>
  <c r="M287" i="12"/>
  <c r="M282" i="12"/>
  <c r="M285" i="12"/>
  <c r="M295" i="12"/>
  <c r="M283" i="12"/>
  <c r="M292" i="12"/>
  <c r="M300" i="12"/>
  <c r="M294" i="12"/>
  <c r="M290" i="12"/>
  <c r="M293" i="12"/>
  <c r="M298" i="12"/>
  <c r="M288" i="12"/>
  <c r="M297" i="12"/>
  <c r="M296" i="12"/>
  <c r="M291" i="12"/>
  <c r="M286" i="12"/>
  <c r="M289" i="12"/>
  <c r="M284" i="12"/>
  <c r="N289" i="16"/>
  <c r="N292" i="16"/>
  <c r="J320" i="9"/>
  <c r="J314" i="9"/>
  <c r="J315" i="9"/>
  <c r="J308" i="9"/>
  <c r="J312" i="9"/>
  <c r="J316" i="9"/>
  <c r="J310" i="9"/>
  <c r="J313" i="9"/>
  <c r="J307" i="9"/>
  <c r="J322" i="9"/>
  <c r="H299" i="9"/>
  <c r="H286" i="9"/>
  <c r="H293" i="9"/>
  <c r="H287" i="9"/>
  <c r="H283" i="9"/>
  <c r="H295" i="9"/>
  <c r="H282" i="9"/>
  <c r="H289" i="9"/>
  <c r="H294" i="9"/>
  <c r="H291" i="9"/>
  <c r="K294" i="9"/>
  <c r="K284" i="9"/>
  <c r="K296" i="9"/>
  <c r="K288" i="9"/>
  <c r="B290" i="7"/>
  <c r="B13" i="20" s="1"/>
  <c r="B183" i="9" s="1"/>
  <c r="B321" i="9"/>
  <c r="B315" i="9"/>
  <c r="B316" i="9"/>
  <c r="B309" i="9"/>
  <c r="B313" i="9"/>
  <c r="B317" i="9"/>
  <c r="B311" i="9"/>
  <c r="B314" i="9"/>
  <c r="B308" i="9"/>
  <c r="M299" i="19"/>
  <c r="M289" i="19"/>
  <c r="M291" i="19"/>
  <c r="M300" i="19"/>
  <c r="M288" i="19"/>
  <c r="H309" i="18"/>
  <c r="H321" i="18"/>
  <c r="K311" i="19"/>
  <c r="K312" i="19"/>
  <c r="K313" i="19"/>
  <c r="K314" i="19"/>
  <c r="G312" i="19"/>
  <c r="G308" i="19"/>
  <c r="G310" i="19"/>
  <c r="M292" i="19"/>
  <c r="M283" i="19"/>
  <c r="M285" i="19"/>
  <c r="H315" i="19"/>
  <c r="H323" i="19"/>
  <c r="H314" i="19"/>
  <c r="C285" i="19"/>
  <c r="C288" i="19"/>
  <c r="C293" i="19"/>
  <c r="C300" i="19"/>
  <c r="E322" i="19"/>
  <c r="E311" i="19"/>
  <c r="E316" i="19"/>
  <c r="E323" i="19"/>
  <c r="B297" i="19"/>
  <c r="B291" i="19"/>
  <c r="B286" i="19"/>
  <c r="J311" i="9"/>
  <c r="J318" i="9"/>
  <c r="J321" i="9"/>
  <c r="C315" i="9"/>
  <c r="C319" i="9"/>
  <c r="H284" i="9"/>
  <c r="H296" i="9"/>
  <c r="H300" i="9"/>
  <c r="M295" i="9"/>
  <c r="M287" i="9"/>
  <c r="M293" i="9"/>
  <c r="D292" i="9"/>
  <c r="D283" i="9"/>
  <c r="B310" i="9"/>
  <c r="B325" i="9"/>
  <c r="L286" i="9"/>
  <c r="L288" i="9"/>
  <c r="L294" i="9"/>
  <c r="L322" i="9"/>
  <c r="L323" i="9"/>
  <c r="L319" i="9"/>
  <c r="C322" i="19"/>
  <c r="C320" i="19"/>
  <c r="F297" i="9"/>
  <c r="F283" i="9"/>
  <c r="F298" i="9"/>
  <c r="F289" i="9"/>
  <c r="G325" i="19"/>
  <c r="G315" i="19"/>
  <c r="G314" i="19"/>
  <c r="G322" i="19"/>
  <c r="P297" i="9"/>
  <c r="P299" i="9"/>
  <c r="P298" i="9"/>
  <c r="P282" i="9"/>
  <c r="H324" i="18"/>
  <c r="H307" i="18"/>
  <c r="B317" i="17"/>
  <c r="B310" i="17"/>
  <c r="B324" i="17"/>
  <c r="B312" i="17"/>
  <c r="C314" i="18"/>
  <c r="C312" i="18"/>
  <c r="C316" i="18"/>
  <c r="H312" i="18"/>
  <c r="H308" i="18"/>
  <c r="H310" i="18"/>
  <c r="H311" i="18"/>
  <c r="I322" i="18"/>
  <c r="I308" i="18"/>
  <c r="I315" i="18"/>
  <c r="I317" i="18"/>
  <c r="K315" i="19"/>
  <c r="K325" i="19"/>
  <c r="K320" i="19"/>
  <c r="K317" i="19"/>
  <c r="G320" i="19"/>
  <c r="G313" i="19"/>
  <c r="G318" i="19"/>
  <c r="G324" i="19"/>
  <c r="M282" i="19"/>
  <c r="M287" i="19"/>
  <c r="M295" i="19"/>
  <c r="H312" i="19"/>
  <c r="H313" i="19"/>
  <c r="C289" i="19"/>
  <c r="C295" i="19"/>
  <c r="E318" i="19"/>
  <c r="E319" i="19"/>
  <c r="B289" i="19"/>
  <c r="J324" i="9"/>
  <c r="J325" i="9"/>
  <c r="C322" i="9"/>
  <c r="H292" i="9"/>
  <c r="H297" i="9"/>
  <c r="M285" i="9"/>
  <c r="M291" i="9"/>
  <c r="D285" i="9"/>
  <c r="B312" i="9"/>
  <c r="B319" i="9"/>
  <c r="B318" i="9"/>
  <c r="L287" i="9"/>
  <c r="L292" i="9"/>
  <c r="C283" i="9"/>
  <c r="C296" i="9"/>
  <c r="K282" i="9"/>
  <c r="J323" i="9"/>
  <c r="J317" i="9"/>
  <c r="H288" i="9"/>
  <c r="H290" i="9"/>
  <c r="B323" i="9"/>
  <c r="B307" i="9"/>
  <c r="B322" i="9"/>
  <c r="L295" i="9"/>
  <c r="L296" i="9"/>
  <c r="L284" i="9"/>
  <c r="L282" i="9"/>
  <c r="L299" i="9"/>
  <c r="L289" i="9"/>
  <c r="L293" i="9"/>
  <c r="L291" i="9"/>
  <c r="L297" i="9"/>
  <c r="M300" i="9"/>
  <c r="M284" i="9"/>
  <c r="M283" i="9"/>
  <c r="M289" i="9"/>
  <c r="M298" i="9"/>
  <c r="M296" i="9"/>
  <c r="M299" i="9"/>
  <c r="M294" i="9"/>
  <c r="M286" i="9"/>
  <c r="C324" i="9"/>
  <c r="C314" i="9"/>
  <c r="C309" i="9"/>
  <c r="C307" i="9"/>
  <c r="C311" i="9"/>
  <c r="C320" i="9"/>
  <c r="C310" i="9"/>
  <c r="C308" i="9"/>
  <c r="C323" i="9"/>
  <c r="E325" i="19"/>
  <c r="E309" i="19"/>
  <c r="E308" i="19"/>
  <c r="E315" i="19"/>
  <c r="E324" i="19"/>
  <c r="D296" i="9"/>
  <c r="D293" i="9"/>
  <c r="D299" i="9"/>
  <c r="D284" i="9"/>
  <c r="D298" i="9"/>
  <c r="D291" i="9"/>
  <c r="D290" i="9"/>
  <c r="D294" i="9"/>
  <c r="D289" i="9"/>
  <c r="M309" i="18"/>
  <c r="M308" i="18"/>
  <c r="M325" i="18"/>
  <c r="M314" i="18"/>
  <c r="M324" i="18"/>
  <c r="M313" i="18"/>
  <c r="M310" i="18"/>
  <c r="M315" i="18"/>
  <c r="M312" i="18"/>
  <c r="M311" i="18"/>
  <c r="M322" i="18"/>
  <c r="M317" i="18"/>
  <c r="H325" i="19"/>
  <c r="H310" i="19"/>
  <c r="H309" i="19"/>
  <c r="H320" i="19"/>
  <c r="H311" i="19"/>
  <c r="C292" i="19"/>
  <c r="C286" i="19"/>
  <c r="C284" i="19"/>
  <c r="C287" i="19"/>
  <c r="B299" i="19"/>
  <c r="B284" i="19"/>
  <c r="B282" i="19"/>
  <c r="B300" i="19"/>
  <c r="B288" i="19"/>
  <c r="B292" i="19"/>
  <c r="B285" i="19"/>
  <c r="B295" i="19"/>
  <c r="B294" i="19"/>
  <c r="H297" i="19"/>
  <c r="H284" i="19"/>
  <c r="C293" i="9"/>
  <c r="C297" i="9"/>
  <c r="C282" i="9"/>
  <c r="C294" i="9"/>
  <c r="C288" i="9"/>
  <c r="C287" i="9"/>
  <c r="C289" i="9"/>
  <c r="J318" i="17"/>
  <c r="J320" i="17"/>
  <c r="J308" i="17"/>
  <c r="E313" i="17"/>
  <c r="E312" i="17"/>
  <c r="E317" i="17"/>
  <c r="E314" i="17"/>
  <c r="E316" i="17"/>
  <c r="E310" i="17"/>
  <c r="E315" i="17"/>
  <c r="E322" i="17"/>
  <c r="E308" i="17"/>
  <c r="E318" i="17"/>
  <c r="E323" i="17"/>
  <c r="E321" i="17"/>
  <c r="E311" i="17"/>
  <c r="E307" i="17"/>
  <c r="E324" i="17"/>
  <c r="E319" i="17"/>
  <c r="E309" i="17"/>
  <c r="E320" i="17"/>
  <c r="E325" i="17"/>
  <c r="J319" i="17"/>
  <c r="J317" i="17"/>
  <c r="J316" i="17"/>
  <c r="P321" i="18"/>
  <c r="P307" i="18"/>
  <c r="P317" i="18"/>
  <c r="P318" i="18"/>
  <c r="P320" i="18"/>
  <c r="C309" i="19"/>
  <c r="C310" i="19"/>
  <c r="C307" i="19"/>
  <c r="C308" i="19"/>
  <c r="C321" i="19"/>
  <c r="K293" i="9"/>
  <c r="K292" i="9"/>
  <c r="K286" i="9"/>
  <c r="K287" i="9"/>
  <c r="K300" i="9"/>
  <c r="P290" i="9"/>
  <c r="P286" i="9"/>
  <c r="P296" i="9"/>
  <c r="P295" i="9"/>
  <c r="F282" i="9"/>
  <c r="F287" i="9"/>
  <c r="F284" i="9"/>
  <c r="F300" i="9"/>
  <c r="L320" i="9"/>
  <c r="L313" i="9"/>
  <c r="L307" i="9"/>
  <c r="L321" i="9"/>
  <c r="L325" i="9"/>
  <c r="J310" i="17"/>
  <c r="J323" i="17"/>
  <c r="J314" i="17"/>
  <c r="J325" i="17"/>
  <c r="J322" i="17"/>
  <c r="P314" i="18"/>
  <c r="P322" i="18"/>
  <c r="P309" i="18"/>
  <c r="P315" i="18"/>
  <c r="C317" i="19"/>
  <c r="C318" i="19"/>
  <c r="C311" i="19"/>
  <c r="C312" i="19"/>
  <c r="C324" i="19"/>
  <c r="K289" i="9"/>
  <c r="K298" i="9"/>
  <c r="K290" i="9"/>
  <c r="K291" i="9"/>
  <c r="K297" i="9"/>
  <c r="P294" i="9"/>
  <c r="P300" i="9"/>
  <c r="P283" i="9"/>
  <c r="P284" i="9"/>
  <c r="P293" i="9"/>
  <c r="F285" i="9"/>
  <c r="F290" i="9"/>
  <c r="F291" i="9"/>
  <c r="F288" i="9"/>
  <c r="F293" i="9"/>
  <c r="L312" i="9"/>
  <c r="L310" i="9"/>
  <c r="L311" i="9"/>
  <c r="L318" i="9"/>
  <c r="C292" i="9"/>
  <c r="C300" i="9"/>
  <c r="C290" i="9"/>
  <c r="N320" i="9"/>
  <c r="N325" i="9"/>
  <c r="N322" i="9"/>
  <c r="N312" i="9"/>
  <c r="N314" i="9"/>
  <c r="N315" i="9"/>
  <c r="N308" i="9"/>
  <c r="N317" i="9"/>
  <c r="N323" i="9"/>
  <c r="N313" i="9"/>
  <c r="N307" i="9"/>
  <c r="N319" i="9"/>
  <c r="N321" i="9"/>
  <c r="N316" i="9"/>
  <c r="N310" i="9"/>
  <c r="H313" i="17"/>
  <c r="H317" i="17"/>
  <c r="H315" i="17"/>
  <c r="I309" i="17"/>
  <c r="I311" i="17"/>
  <c r="I319" i="17"/>
  <c r="I310" i="17"/>
  <c r="J313" i="17"/>
  <c r="J321" i="17"/>
  <c r="J309" i="17"/>
  <c r="J315" i="17"/>
  <c r="H312" i="17"/>
  <c r="H314" i="17"/>
  <c r="H325" i="17"/>
  <c r="H311" i="17"/>
  <c r="B317" i="18"/>
  <c r="B322" i="18"/>
  <c r="B318" i="18"/>
  <c r="B316" i="18"/>
  <c r="P311" i="18"/>
  <c r="P324" i="18"/>
  <c r="P308" i="18"/>
  <c r="P313" i="18"/>
  <c r="C323" i="19"/>
  <c r="C325" i="19"/>
  <c r="C315" i="19"/>
  <c r="C316" i="19"/>
  <c r="I290" i="9"/>
  <c r="I295" i="9"/>
  <c r="I288" i="9"/>
  <c r="I293" i="9"/>
  <c r="K299" i="9"/>
  <c r="K285" i="9"/>
  <c r="K295" i="9"/>
  <c r="P289" i="9"/>
  <c r="P285" i="9"/>
  <c r="P287" i="9"/>
  <c r="P288" i="9"/>
  <c r="H315" i="9"/>
  <c r="H307" i="9"/>
  <c r="H308" i="9"/>
  <c r="H318" i="9"/>
  <c r="F286" i="9"/>
  <c r="F296" i="9"/>
  <c r="F295" i="9"/>
  <c r="F292" i="9"/>
  <c r="L308" i="9"/>
  <c r="L315" i="9"/>
  <c r="L314" i="9"/>
  <c r="L316" i="9"/>
  <c r="G292" i="9"/>
  <c r="G288" i="9"/>
  <c r="G286" i="9"/>
  <c r="G287" i="9"/>
  <c r="G296" i="9"/>
  <c r="N324" i="9"/>
  <c r="C284" i="9"/>
  <c r="C299" i="9"/>
  <c r="C295" i="9"/>
  <c r="G284" i="9"/>
  <c r="G293" i="9"/>
  <c r="G298" i="9"/>
  <c r="G295" i="9"/>
  <c r="H316" i="17"/>
  <c r="N311" i="9"/>
  <c r="C285" i="9"/>
  <c r="C286" i="9"/>
  <c r="C291" i="9"/>
  <c r="P321" i="17"/>
  <c r="P314" i="17"/>
  <c r="Q320" i="17"/>
  <c r="Q312" i="17"/>
  <c r="Q323" i="17"/>
  <c r="Q315" i="17"/>
  <c r="Q307" i="17"/>
  <c r="Q318" i="17"/>
  <c r="Q308" i="17"/>
  <c r="Q317" i="17"/>
  <c r="Q316" i="17"/>
  <c r="Q313" i="17"/>
  <c r="Q324" i="17"/>
  <c r="Q314" i="17"/>
  <c r="Q321" i="17"/>
  <c r="Q311" i="17"/>
  <c r="Q322" i="17"/>
  <c r="Q310" i="17"/>
  <c r="Q319" i="17"/>
  <c r="Q309" i="17"/>
  <c r="Q325" i="17"/>
  <c r="N314" i="17"/>
  <c r="N318" i="17"/>
  <c r="N316" i="17"/>
  <c r="G277" i="16"/>
  <c r="M277" i="18"/>
  <c r="P277" i="18"/>
  <c r="J277" i="16"/>
  <c r="K277" i="12"/>
  <c r="D277" i="18"/>
  <c r="F277" i="16"/>
  <c r="B277" i="16"/>
  <c r="M277" i="16"/>
  <c r="C327" i="16"/>
  <c r="D277" i="16"/>
  <c r="O277" i="19"/>
  <c r="K277" i="19"/>
  <c r="E277" i="9"/>
  <c r="P8" i="9"/>
  <c r="P18" i="9" s="1"/>
  <c r="M8" i="9"/>
  <c r="M18" i="9" s="1"/>
  <c r="J8" i="9"/>
  <c r="J18" i="9" s="1"/>
  <c r="F8" i="9"/>
  <c r="F18" i="9" s="1"/>
  <c r="C8" i="9"/>
  <c r="C18" i="9" s="1"/>
  <c r="H8" i="9"/>
  <c r="H18" i="9" s="1"/>
  <c r="N8" i="9"/>
  <c r="N18" i="9" s="1"/>
  <c r="G8" i="9"/>
  <c r="G18" i="9" s="1"/>
  <c r="D8" i="9"/>
  <c r="D18" i="9" s="1"/>
  <c r="O8" i="9"/>
  <c r="O18" i="9" s="1"/>
  <c r="L8" i="9"/>
  <c r="L18" i="9" s="1"/>
  <c r="I8" i="9"/>
  <c r="I18" i="9" s="1"/>
  <c r="E8" i="9"/>
  <c r="E18" i="9" s="1"/>
  <c r="B8" i="9"/>
  <c r="B18" i="9" s="1"/>
  <c r="K8" i="9"/>
  <c r="K18" i="9" s="1"/>
  <c r="O8" i="16"/>
  <c r="O18" i="16" s="1"/>
  <c r="J8" i="16"/>
  <c r="J18" i="16" s="1"/>
  <c r="F8" i="16"/>
  <c r="F18" i="16" s="1"/>
  <c r="B8" i="16"/>
  <c r="B18" i="16" s="1"/>
  <c r="L8" i="16"/>
  <c r="L18" i="16" s="1"/>
  <c r="E8" i="16"/>
  <c r="E18" i="16" s="1"/>
  <c r="D8" i="16"/>
  <c r="D18" i="16" s="1"/>
  <c r="M8" i="16"/>
  <c r="M18" i="16" s="1"/>
  <c r="K8" i="16"/>
  <c r="K18" i="16" s="1"/>
  <c r="G8" i="16"/>
  <c r="G18" i="16" s="1"/>
  <c r="C8" i="16"/>
  <c r="C18" i="16" s="1"/>
  <c r="I8" i="16"/>
  <c r="I18" i="16" s="1"/>
  <c r="N8" i="16"/>
  <c r="N18" i="16" s="1"/>
  <c r="H8" i="16"/>
  <c r="H18" i="16" s="1"/>
  <c r="O8" i="19"/>
  <c r="O18" i="19" s="1"/>
  <c r="F8" i="19"/>
  <c r="F18" i="19" s="1"/>
  <c r="C18" i="19"/>
  <c r="L8" i="19"/>
  <c r="L18" i="19" s="1"/>
  <c r="H8" i="19"/>
  <c r="H18" i="19" s="1"/>
  <c r="N8" i="19"/>
  <c r="N18" i="19" s="1"/>
  <c r="K8" i="19"/>
  <c r="K18" i="19" s="1"/>
  <c r="G8" i="19"/>
  <c r="G18" i="19" s="1"/>
  <c r="J8" i="19"/>
  <c r="J18" i="19" s="1"/>
  <c r="E18" i="19"/>
  <c r="B8" i="19"/>
  <c r="B18" i="19" s="1"/>
  <c r="M8" i="19"/>
  <c r="M18" i="19" s="1"/>
  <c r="I8" i="19"/>
  <c r="I18" i="19" s="1"/>
  <c r="D8" i="19"/>
  <c r="D18" i="19" s="1"/>
  <c r="C277" i="19"/>
  <c r="I277" i="9"/>
  <c r="J302" i="9"/>
  <c r="L277" i="9"/>
  <c r="J277" i="17"/>
  <c r="K277" i="17"/>
  <c r="K277" i="16"/>
  <c r="N277" i="16"/>
  <c r="B327" i="16"/>
  <c r="G277" i="19"/>
  <c r="J277" i="19"/>
  <c r="B8" i="18"/>
  <c r="B18" i="18" s="1"/>
  <c r="N8" i="18"/>
  <c r="N18" i="18" s="1"/>
  <c r="J8" i="18"/>
  <c r="J18" i="18" s="1"/>
  <c r="G8" i="18"/>
  <c r="G18" i="18" s="1"/>
  <c r="D8" i="18"/>
  <c r="D18" i="18" s="1"/>
  <c r="P8" i="18"/>
  <c r="P18" i="18" s="1"/>
  <c r="M8" i="18"/>
  <c r="M18" i="18" s="1"/>
  <c r="F8" i="18"/>
  <c r="F18" i="18" s="1"/>
  <c r="C8" i="18"/>
  <c r="C18" i="18" s="1"/>
  <c r="K8" i="18"/>
  <c r="K18" i="18" s="1"/>
  <c r="O8" i="18"/>
  <c r="O18" i="18" s="1"/>
  <c r="L8" i="18"/>
  <c r="L18" i="18" s="1"/>
  <c r="I8" i="18"/>
  <c r="I18" i="18" s="1"/>
  <c r="E8" i="18"/>
  <c r="E18" i="18" s="1"/>
  <c r="H8" i="18"/>
  <c r="H18" i="18" s="1"/>
  <c r="J277" i="18"/>
  <c r="C277" i="18"/>
  <c r="G302" i="18"/>
  <c r="F277" i="18"/>
  <c r="G277" i="18"/>
  <c r="L277" i="18"/>
  <c r="H277" i="18"/>
  <c r="O277" i="12"/>
  <c r="B277" i="12"/>
  <c r="R277" i="12"/>
  <c r="K277" i="9"/>
  <c r="C277" i="9"/>
  <c r="D277" i="9"/>
  <c r="N277" i="9"/>
  <c r="J277" i="9"/>
  <c r="M277" i="9"/>
  <c r="F277" i="9"/>
  <c r="G277" i="9"/>
  <c r="P277" i="9"/>
  <c r="L327" i="16"/>
  <c r="N327" i="16"/>
  <c r="I327" i="16"/>
  <c r="J327" i="16"/>
  <c r="H277" i="16"/>
  <c r="E327" i="16"/>
  <c r="F327" i="16"/>
  <c r="L277" i="16"/>
  <c r="M327" i="16"/>
  <c r="O327" i="16"/>
  <c r="G327" i="16"/>
  <c r="I277" i="16"/>
  <c r="K327" i="16"/>
  <c r="H327" i="16"/>
  <c r="D327" i="16"/>
  <c r="C277" i="16"/>
  <c r="E277" i="16"/>
  <c r="I277" i="19"/>
  <c r="E277" i="19"/>
  <c r="L277" i="19"/>
  <c r="M277" i="19"/>
  <c r="N277" i="19"/>
  <c r="D277" i="19"/>
  <c r="F277" i="19"/>
  <c r="H302" i="18"/>
  <c r="C302" i="18"/>
  <c r="O327" i="18"/>
  <c r="B302" i="18"/>
  <c r="L302" i="18"/>
  <c r="O302" i="18"/>
  <c r="K302" i="18"/>
  <c r="P302" i="18"/>
  <c r="D302" i="18"/>
  <c r="I277" i="18"/>
  <c r="E302" i="18"/>
  <c r="K277" i="18"/>
  <c r="I302" i="18"/>
  <c r="J302" i="18"/>
  <c r="F302" i="18"/>
  <c r="N302" i="18"/>
  <c r="B277" i="18"/>
  <c r="O277" i="18"/>
  <c r="E277" i="18"/>
  <c r="Q277" i="17"/>
  <c r="E277" i="17"/>
  <c r="H277" i="17"/>
  <c r="L277" i="17"/>
  <c r="B277" i="17"/>
  <c r="G277" i="17"/>
  <c r="C277" i="17"/>
  <c r="D277" i="17"/>
  <c r="O277" i="17"/>
  <c r="F277" i="17"/>
  <c r="I277" i="17"/>
  <c r="N277" i="17"/>
  <c r="F327" i="17"/>
  <c r="B240" i="7"/>
  <c r="D327" i="19" l="1"/>
  <c r="F302" i="19"/>
  <c r="G329" i="16"/>
  <c r="K302" i="17"/>
  <c r="B327" i="18"/>
  <c r="B329" i="18" s="1"/>
  <c r="L302" i="12"/>
  <c r="O329" i="18"/>
  <c r="C302" i="17"/>
  <c r="E302" i="17"/>
  <c r="H302" i="17"/>
  <c r="F302" i="17"/>
  <c r="B302" i="17"/>
  <c r="P302" i="17"/>
  <c r="S302" i="17"/>
  <c r="J302" i="16"/>
  <c r="G302" i="17"/>
  <c r="R327" i="12"/>
  <c r="R302" i="17"/>
  <c r="I302" i="17"/>
  <c r="J302" i="17"/>
  <c r="D302" i="17"/>
  <c r="M302" i="17"/>
  <c r="O302" i="17"/>
  <c r="N302" i="17"/>
  <c r="Q302" i="17"/>
  <c r="E327" i="9"/>
  <c r="J327" i="12"/>
  <c r="K302" i="16"/>
  <c r="S327" i="17"/>
  <c r="K302" i="12"/>
  <c r="I327" i="12"/>
  <c r="R327" i="17"/>
  <c r="D327" i="12"/>
  <c r="M327" i="9"/>
  <c r="B182" i="19"/>
  <c r="L302" i="16"/>
  <c r="L327" i="12"/>
  <c r="N327" i="18"/>
  <c r="N329" i="18" s="1"/>
  <c r="P327" i="12"/>
  <c r="D302" i="16"/>
  <c r="K327" i="12"/>
  <c r="K327" i="17"/>
  <c r="B327" i="12"/>
  <c r="M327" i="19"/>
  <c r="T302" i="12"/>
  <c r="S327" i="12"/>
  <c r="M327" i="17"/>
  <c r="B182" i="16"/>
  <c r="B182" i="9"/>
  <c r="J302" i="12"/>
  <c r="N302" i="12"/>
  <c r="R302" i="12"/>
  <c r="T327" i="12"/>
  <c r="T329" i="12" s="1"/>
  <c r="Q302" i="12"/>
  <c r="C302" i="12"/>
  <c r="C327" i="17"/>
  <c r="B182" i="12"/>
  <c r="B182" i="17"/>
  <c r="F302" i="12"/>
  <c r="K327" i="18"/>
  <c r="K329" i="18" s="1"/>
  <c r="O302" i="16"/>
  <c r="I302" i="16"/>
  <c r="L327" i="17"/>
  <c r="L329" i="17" s="1"/>
  <c r="G327" i="18"/>
  <c r="G329" i="18" s="1"/>
  <c r="H302" i="12"/>
  <c r="K327" i="9"/>
  <c r="N327" i="12"/>
  <c r="E302" i="12"/>
  <c r="F327" i="18"/>
  <c r="F329" i="18" s="1"/>
  <c r="S302" i="12"/>
  <c r="P302" i="12"/>
  <c r="M302" i="16"/>
  <c r="U302" i="12"/>
  <c r="D327" i="17"/>
  <c r="U327" i="12"/>
  <c r="E327" i="18"/>
  <c r="E329" i="18" s="1"/>
  <c r="L327" i="18"/>
  <c r="L329" i="18" s="1"/>
  <c r="J327" i="18"/>
  <c r="J329" i="18" s="1"/>
  <c r="P327" i="9"/>
  <c r="D327" i="9"/>
  <c r="L327" i="19"/>
  <c r="B302" i="12"/>
  <c r="O327" i="9"/>
  <c r="D302" i="19"/>
  <c r="G327" i="17"/>
  <c r="I327" i="19"/>
  <c r="C302" i="16"/>
  <c r="C327" i="12"/>
  <c r="D327" i="18"/>
  <c r="D329" i="18" s="1"/>
  <c r="O327" i="19"/>
  <c r="H327" i="12"/>
  <c r="B327" i="19"/>
  <c r="F302" i="16"/>
  <c r="O327" i="17"/>
  <c r="Q327" i="12"/>
  <c r="Q329" i="12" s="1"/>
  <c r="E327" i="12"/>
  <c r="F327" i="12"/>
  <c r="O327" i="12"/>
  <c r="I302" i="12"/>
  <c r="B327" i="17"/>
  <c r="M327" i="12"/>
  <c r="H302" i="16"/>
  <c r="G327" i="12"/>
  <c r="G329" i="12" s="1"/>
  <c r="F327" i="9"/>
  <c r="B183" i="18"/>
  <c r="O335" i="18" s="1"/>
  <c r="O14" i="18" s="1"/>
  <c r="C302" i="9"/>
  <c r="K327" i="19"/>
  <c r="E302" i="16"/>
  <c r="D302" i="12"/>
  <c r="B183" i="16"/>
  <c r="O335" i="16" s="1"/>
  <c r="O14" i="16" s="1"/>
  <c r="M327" i="18"/>
  <c r="M329" i="18" s="1"/>
  <c r="B302" i="9"/>
  <c r="B302" i="16"/>
  <c r="E302" i="9"/>
  <c r="E327" i="17"/>
  <c r="B302" i="19"/>
  <c r="N302" i="16"/>
  <c r="O302" i="9"/>
  <c r="G327" i="9"/>
  <c r="G302" i="19"/>
  <c r="P327" i="17"/>
  <c r="J302" i="19"/>
  <c r="O302" i="12"/>
  <c r="I302" i="19"/>
  <c r="F327" i="19"/>
  <c r="G302" i="9"/>
  <c r="N327" i="19"/>
  <c r="K302" i="19"/>
  <c r="N302" i="19"/>
  <c r="O302" i="19"/>
  <c r="I327" i="9"/>
  <c r="L302" i="19"/>
  <c r="N302" i="9"/>
  <c r="E302" i="19"/>
  <c r="J327" i="19"/>
  <c r="M302" i="12"/>
  <c r="N327" i="17"/>
  <c r="P302" i="9"/>
  <c r="K302" i="9"/>
  <c r="H302" i="19"/>
  <c r="C302" i="19"/>
  <c r="D302" i="9"/>
  <c r="E327" i="19"/>
  <c r="C327" i="9"/>
  <c r="M302" i="9"/>
  <c r="M302" i="19"/>
  <c r="G327" i="19"/>
  <c r="B327" i="9"/>
  <c r="H302" i="9"/>
  <c r="J327" i="9"/>
  <c r="J329" i="9" s="1"/>
  <c r="I327" i="17"/>
  <c r="H327" i="19"/>
  <c r="L302" i="9"/>
  <c r="I327" i="18"/>
  <c r="I329" i="18" s="1"/>
  <c r="C327" i="18"/>
  <c r="C329" i="18" s="1"/>
  <c r="H327" i="18"/>
  <c r="H329" i="18" s="1"/>
  <c r="L327" i="9"/>
  <c r="P327" i="18"/>
  <c r="P329" i="18" s="1"/>
  <c r="B183" i="17"/>
  <c r="H327" i="9"/>
  <c r="B183" i="12"/>
  <c r="N327" i="9"/>
  <c r="F302" i="9"/>
  <c r="C327" i="19"/>
  <c r="J327" i="17"/>
  <c r="I302" i="9"/>
  <c r="H327" i="17"/>
  <c r="B183" i="19"/>
  <c r="Q327" i="17"/>
  <c r="B292" i="7"/>
  <c r="B14" i="20" s="1"/>
  <c r="B11" i="20"/>
  <c r="G329" i="19" l="1"/>
  <c r="L329" i="12"/>
  <c r="F329" i="12"/>
  <c r="H329" i="12"/>
  <c r="B329" i="17"/>
  <c r="K329" i="17"/>
  <c r="I329" i="17"/>
  <c r="M329" i="17"/>
  <c r="R329" i="17"/>
  <c r="F329" i="19"/>
  <c r="J329" i="17"/>
  <c r="U329" i="12"/>
  <c r="F329" i="17"/>
  <c r="D329" i="17"/>
  <c r="E329" i="16"/>
  <c r="M329" i="16"/>
  <c r="I329" i="16"/>
  <c r="D329" i="16"/>
  <c r="O329" i="16"/>
  <c r="F329" i="16"/>
  <c r="L329" i="16"/>
  <c r="N329" i="16"/>
  <c r="B329" i="16"/>
  <c r="H329" i="16"/>
  <c r="C329" i="16"/>
  <c r="K329" i="16"/>
  <c r="J329" i="16"/>
  <c r="D329" i="19"/>
  <c r="J329" i="19"/>
  <c r="E329" i="17"/>
  <c r="C329" i="12"/>
  <c r="H329" i="19"/>
  <c r="N329" i="12"/>
  <c r="S329" i="17"/>
  <c r="H329" i="17"/>
  <c r="C329" i="19"/>
  <c r="E329" i="19"/>
  <c r="K329" i="19"/>
  <c r="I329" i="19"/>
  <c r="S329" i="12"/>
  <c r="P329" i="12"/>
  <c r="O329" i="12"/>
  <c r="O329" i="17"/>
  <c r="G329" i="17"/>
  <c r="R329" i="12"/>
  <c r="G335" i="9"/>
  <c r="G14" i="9" s="1"/>
  <c r="G329" i="9"/>
  <c r="P335" i="9"/>
  <c r="P14" i="9" s="1"/>
  <c r="P329" i="9"/>
  <c r="Q329" i="17"/>
  <c r="N335" i="9"/>
  <c r="N14" i="9" s="1"/>
  <c r="N329" i="9"/>
  <c r="K329" i="12"/>
  <c r="I329" i="12"/>
  <c r="E335" i="9"/>
  <c r="E14" i="9" s="1"/>
  <c r="E329" i="9"/>
  <c r="B335" i="9"/>
  <c r="B14" i="9" s="1"/>
  <c r="B329" i="9"/>
  <c r="N329" i="17"/>
  <c r="P329" i="17"/>
  <c r="O329" i="19"/>
  <c r="L329" i="19"/>
  <c r="K335" i="9"/>
  <c r="K14" i="9" s="1"/>
  <c r="K329" i="9"/>
  <c r="C329" i="17"/>
  <c r="M329" i="19"/>
  <c r="M335" i="9"/>
  <c r="M14" i="9" s="1"/>
  <c r="M329" i="9"/>
  <c r="O335" i="9"/>
  <c r="O341" i="9" s="1"/>
  <c r="O329" i="9"/>
  <c r="I335" i="9"/>
  <c r="I14" i="9" s="1"/>
  <c r="I329" i="9"/>
  <c r="H335" i="9"/>
  <c r="H341" i="9" s="1"/>
  <c r="H329" i="9"/>
  <c r="L329" i="9"/>
  <c r="C335" i="9"/>
  <c r="C14" i="9" s="1"/>
  <c r="C329" i="9"/>
  <c r="N329" i="19"/>
  <c r="F335" i="9"/>
  <c r="F14" i="9" s="1"/>
  <c r="F329" i="9"/>
  <c r="M329" i="12"/>
  <c r="E329" i="12"/>
  <c r="B329" i="19"/>
  <c r="D335" i="9"/>
  <c r="D14" i="9" s="1"/>
  <c r="D329" i="9"/>
  <c r="B329" i="12"/>
  <c r="D329" i="12"/>
  <c r="J329" i="12"/>
  <c r="J335" i="9"/>
  <c r="H335" i="18"/>
  <c r="H14" i="18" s="1"/>
  <c r="K335" i="17"/>
  <c r="K14" i="17" s="1"/>
  <c r="J335" i="18"/>
  <c r="J14" i="18" s="1"/>
  <c r="D335" i="19"/>
  <c r="D14" i="19" s="1"/>
  <c r="H335" i="12"/>
  <c r="H14" i="12" s="1"/>
  <c r="P335" i="12"/>
  <c r="P14" i="12" s="1"/>
  <c r="B335" i="17"/>
  <c r="L335" i="18"/>
  <c r="L14" i="18" s="1"/>
  <c r="N335" i="18"/>
  <c r="N14" i="18" s="1"/>
  <c r="N335" i="12"/>
  <c r="N14" i="12" s="1"/>
  <c r="I335" i="12"/>
  <c r="I14" i="12" s="1"/>
  <c r="G335" i="18"/>
  <c r="G14" i="18" s="1"/>
  <c r="D335" i="18"/>
  <c r="D14" i="18" s="1"/>
  <c r="R335" i="17"/>
  <c r="R14" i="17" s="1"/>
  <c r="L335" i="19"/>
  <c r="L14" i="19" s="1"/>
  <c r="C335" i="12"/>
  <c r="G335" i="17"/>
  <c r="G14" i="17" s="1"/>
  <c r="T335" i="12"/>
  <c r="T14" i="12" s="1"/>
  <c r="F335" i="12"/>
  <c r="F14" i="12" s="1"/>
  <c r="B335" i="18"/>
  <c r="O335" i="12"/>
  <c r="O14" i="12" s="1"/>
  <c r="B335" i="16"/>
  <c r="F335" i="18"/>
  <c r="F14" i="18" s="1"/>
  <c r="E335" i="18"/>
  <c r="K335" i="18"/>
  <c r="K14" i="18" s="1"/>
  <c r="H335" i="16"/>
  <c r="H14" i="16" s="1"/>
  <c r="Q335" i="12"/>
  <c r="Q14" i="12" s="1"/>
  <c r="B335" i="12"/>
  <c r="F335" i="17"/>
  <c r="F14" i="17" s="1"/>
  <c r="C335" i="18"/>
  <c r="C14" i="18" s="1"/>
  <c r="G335" i="12"/>
  <c r="G14" i="12" s="1"/>
  <c r="J335" i="16"/>
  <c r="J14" i="16" s="1"/>
  <c r="I335" i="18"/>
  <c r="I14" i="18" s="1"/>
  <c r="O335" i="19"/>
  <c r="O14" i="19" s="1"/>
  <c r="S335" i="12"/>
  <c r="S14" i="12" s="1"/>
  <c r="L335" i="12"/>
  <c r="L14" i="12" s="1"/>
  <c r="E335" i="12"/>
  <c r="E14" i="12" s="1"/>
  <c r="K335" i="12"/>
  <c r="K14" i="12" s="1"/>
  <c r="J335" i="19"/>
  <c r="J14" i="19" s="1"/>
  <c r="E335" i="16"/>
  <c r="E14" i="16" s="1"/>
  <c r="U335" i="12"/>
  <c r="U14" i="12" s="1"/>
  <c r="M335" i="12"/>
  <c r="M14" i="12" s="1"/>
  <c r="L335" i="16"/>
  <c r="L14" i="16" s="1"/>
  <c r="M335" i="16"/>
  <c r="M14" i="16" s="1"/>
  <c r="D335" i="12"/>
  <c r="D14" i="12" s="1"/>
  <c r="R335" i="12"/>
  <c r="R14" i="12" s="1"/>
  <c r="N335" i="17"/>
  <c r="N14" i="17" s="1"/>
  <c r="N335" i="16"/>
  <c r="N14" i="16" s="1"/>
  <c r="I335" i="16"/>
  <c r="I14" i="16" s="1"/>
  <c r="D335" i="16"/>
  <c r="D14" i="16" s="1"/>
  <c r="C335" i="16"/>
  <c r="C14" i="16" s="1"/>
  <c r="L335" i="9"/>
  <c r="L14" i="9" s="1"/>
  <c r="M335" i="18"/>
  <c r="M14" i="18" s="1"/>
  <c r="K335" i="16"/>
  <c r="K14" i="16" s="1"/>
  <c r="G335" i="16"/>
  <c r="G14" i="16" s="1"/>
  <c r="F335" i="16"/>
  <c r="F14" i="16" s="1"/>
  <c r="P335" i="18"/>
  <c r="P14" i="18" s="1"/>
  <c r="G335" i="19"/>
  <c r="G14" i="19" s="1"/>
  <c r="J335" i="17"/>
  <c r="J14" i="17" s="1"/>
  <c r="H335" i="19"/>
  <c r="H14" i="19" s="1"/>
  <c r="F335" i="19"/>
  <c r="F14" i="19" s="1"/>
  <c r="K335" i="19"/>
  <c r="I335" i="17"/>
  <c r="I14" i="17" s="1"/>
  <c r="M335" i="17"/>
  <c r="M14" i="17" s="1"/>
  <c r="L335" i="17"/>
  <c r="L14" i="17" s="1"/>
  <c r="I335" i="19"/>
  <c r="C335" i="19"/>
  <c r="E335" i="19"/>
  <c r="E14" i="19" s="1"/>
  <c r="H335" i="17"/>
  <c r="H14" i="17" s="1"/>
  <c r="S335" i="17"/>
  <c r="S14" i="17" s="1"/>
  <c r="O335" i="17"/>
  <c r="O14" i="17" s="1"/>
  <c r="Q335" i="17"/>
  <c r="Q14" i="17" s="1"/>
  <c r="M335" i="19"/>
  <c r="C335" i="17"/>
  <c r="C14" i="17" s="1"/>
  <c r="E335" i="17"/>
  <c r="E14" i="17" s="1"/>
  <c r="P335" i="17"/>
  <c r="P14" i="17" s="1"/>
  <c r="D335" i="17"/>
  <c r="D14" i="17" s="1"/>
  <c r="B335" i="19"/>
  <c r="N335" i="19"/>
  <c r="J335" i="12"/>
  <c r="J14" i="12" s="1"/>
  <c r="B181" i="18"/>
  <c r="B181" i="12"/>
  <c r="H334" i="12" s="1"/>
  <c r="B181" i="16"/>
  <c r="G334" i="16" s="1"/>
  <c r="B181" i="17"/>
  <c r="B181" i="9"/>
  <c r="J334" i="9" s="1"/>
  <c r="B181" i="19"/>
  <c r="B184" i="9"/>
  <c r="B184" i="12"/>
  <c r="B184" i="19"/>
  <c r="B184" i="18"/>
  <c r="M330" i="18" s="1"/>
  <c r="B184" i="16"/>
  <c r="B184" i="17"/>
  <c r="J341" i="9" l="1"/>
  <c r="F334" i="19"/>
  <c r="N334" i="19"/>
  <c r="O334" i="19"/>
  <c r="E330" i="17"/>
  <c r="S334" i="17"/>
  <c r="P334" i="17"/>
  <c r="R334" i="17"/>
  <c r="N334" i="17"/>
  <c r="H334" i="17"/>
  <c r="N334" i="12"/>
  <c r="O334" i="12"/>
  <c r="G334" i="17"/>
  <c r="T334" i="12"/>
  <c r="G334" i="12"/>
  <c r="L334" i="17"/>
  <c r="B334" i="12"/>
  <c r="R334" i="12"/>
  <c r="D334" i="12"/>
  <c r="Q334" i="12"/>
  <c r="C334" i="18"/>
  <c r="B334" i="18"/>
  <c r="E334" i="17"/>
  <c r="I334" i="17"/>
  <c r="C334" i="12"/>
  <c r="M334" i="12"/>
  <c r="Q334" i="17"/>
  <c r="J334" i="17"/>
  <c r="S334" i="12"/>
  <c r="C334" i="17"/>
  <c r="P334" i="12"/>
  <c r="E334" i="12"/>
  <c r="J334" i="12"/>
  <c r="B334" i="17"/>
  <c r="M334" i="17"/>
  <c r="F334" i="12"/>
  <c r="K334" i="17"/>
  <c r="L334" i="12"/>
  <c r="O334" i="17"/>
  <c r="U334" i="12"/>
  <c r="F334" i="17"/>
  <c r="D334" i="17"/>
  <c r="K334" i="12"/>
  <c r="I334" i="12"/>
  <c r="I334" i="9"/>
  <c r="P334" i="9"/>
  <c r="B334" i="9"/>
  <c r="M334" i="9"/>
  <c r="C334" i="9"/>
  <c r="H334" i="9"/>
  <c r="N334" i="9"/>
  <c r="E334" i="9"/>
  <c r="L334" i="9"/>
  <c r="K334" i="9"/>
  <c r="D334" i="9"/>
  <c r="O334" i="9"/>
  <c r="G334" i="9"/>
  <c r="F334" i="9"/>
  <c r="D330" i="16"/>
  <c r="J334" i="16"/>
  <c r="K334" i="16"/>
  <c r="H334" i="16"/>
  <c r="N334" i="16"/>
  <c r="O334" i="16"/>
  <c r="I334" i="16"/>
  <c r="E334" i="16"/>
  <c r="C334" i="16"/>
  <c r="B334" i="16"/>
  <c r="B336" i="16" s="1"/>
  <c r="L334" i="16"/>
  <c r="F334" i="16"/>
  <c r="D334" i="16"/>
  <c r="M334" i="16"/>
  <c r="I334" i="19"/>
  <c r="L334" i="19"/>
  <c r="K334" i="19"/>
  <c r="B334" i="19"/>
  <c r="E334" i="19"/>
  <c r="E13" i="19" s="1"/>
  <c r="G334" i="19"/>
  <c r="M334" i="19"/>
  <c r="D334" i="19"/>
  <c r="H334" i="19"/>
  <c r="J334" i="19"/>
  <c r="C334" i="19"/>
  <c r="M334" i="18"/>
  <c r="D334" i="18"/>
  <c r="K334" i="18"/>
  <c r="E334" i="18"/>
  <c r="O334" i="18"/>
  <c r="P334" i="18"/>
  <c r="L334" i="18"/>
  <c r="N334" i="18"/>
  <c r="G334" i="18"/>
  <c r="H334" i="18"/>
  <c r="F334" i="18"/>
  <c r="I334" i="18"/>
  <c r="J334" i="18"/>
  <c r="C341" i="9"/>
  <c r="H14" i="9"/>
  <c r="I341" i="9"/>
  <c r="G341" i="9"/>
  <c r="B330" i="12"/>
  <c r="O14" i="9"/>
  <c r="D341" i="18"/>
  <c r="F341" i="9"/>
  <c r="M341" i="9"/>
  <c r="D341" i="9"/>
  <c r="K341" i="9"/>
  <c r="P341" i="9"/>
  <c r="E341" i="9"/>
  <c r="N341" i="9"/>
  <c r="J14" i="9"/>
  <c r="M341" i="18"/>
  <c r="K341" i="17"/>
  <c r="R341" i="17"/>
  <c r="J341" i="18"/>
  <c r="Q341" i="12"/>
  <c r="E341" i="18"/>
  <c r="H341" i="18"/>
  <c r="E341" i="16"/>
  <c r="E14" i="18"/>
  <c r="B14" i="12"/>
  <c r="P341" i="12"/>
  <c r="N341" i="12"/>
  <c r="C341" i="16"/>
  <c r="C330" i="9"/>
  <c r="H341" i="12"/>
  <c r="O341" i="19"/>
  <c r="N341" i="17"/>
  <c r="F341" i="17"/>
  <c r="F341" i="12"/>
  <c r="B14" i="17"/>
  <c r="L341" i="17"/>
  <c r="G341" i="12"/>
  <c r="I341" i="12"/>
  <c r="T341" i="12"/>
  <c r="G341" i="17"/>
  <c r="L341" i="18"/>
  <c r="O341" i="12"/>
  <c r="N341" i="16"/>
  <c r="K341" i="18"/>
  <c r="C341" i="18"/>
  <c r="N341" i="18"/>
  <c r="I341" i="18"/>
  <c r="H341" i="16"/>
  <c r="G341" i="16"/>
  <c r="J341" i="19"/>
  <c r="K341" i="12"/>
  <c r="B14" i="18"/>
  <c r="B14" i="16"/>
  <c r="D341" i="16"/>
  <c r="O341" i="18"/>
  <c r="G341" i="18"/>
  <c r="O341" i="16"/>
  <c r="C14" i="12"/>
  <c r="C341" i="12"/>
  <c r="F341" i="18"/>
  <c r="L341" i="16"/>
  <c r="M341" i="12"/>
  <c r="R341" i="12"/>
  <c r="F341" i="16"/>
  <c r="D341" i="12"/>
  <c r="S341" i="17"/>
  <c r="L341" i="19"/>
  <c r="D341" i="19"/>
  <c r="J341" i="16"/>
  <c r="I341" i="16"/>
  <c r="G341" i="19"/>
  <c r="U341" i="12"/>
  <c r="L341" i="9"/>
  <c r="L341" i="12"/>
  <c r="J330" i="18"/>
  <c r="S341" i="12"/>
  <c r="F341" i="19"/>
  <c r="M341" i="16"/>
  <c r="E341" i="12"/>
  <c r="K341" i="19"/>
  <c r="K14" i="19"/>
  <c r="K341" i="16"/>
  <c r="Q341" i="17"/>
  <c r="P341" i="18"/>
  <c r="M341" i="17"/>
  <c r="J341" i="17"/>
  <c r="O341" i="17"/>
  <c r="I341" i="17"/>
  <c r="E341" i="17"/>
  <c r="P341" i="17"/>
  <c r="I330" i="18"/>
  <c r="C341" i="17"/>
  <c r="M330" i="12"/>
  <c r="C330" i="18"/>
  <c r="H341" i="19"/>
  <c r="M14" i="19"/>
  <c r="M341" i="19"/>
  <c r="J341" i="12"/>
  <c r="B330" i="17"/>
  <c r="S330" i="12"/>
  <c r="L330" i="17"/>
  <c r="D330" i="17"/>
  <c r="C341" i="19"/>
  <c r="C14" i="19"/>
  <c r="H341" i="17"/>
  <c r="D341" i="17"/>
  <c r="L330" i="18"/>
  <c r="F330" i="18"/>
  <c r="N14" i="19"/>
  <c r="N341" i="19"/>
  <c r="I14" i="19"/>
  <c r="I341" i="19"/>
  <c r="G330" i="12"/>
  <c r="O330" i="18"/>
  <c r="B14" i="19"/>
  <c r="E341" i="19"/>
  <c r="J330" i="9"/>
  <c r="G330" i="18"/>
  <c r="K330" i="9"/>
  <c r="S330" i="17"/>
  <c r="Q330" i="17"/>
  <c r="D330" i="18"/>
  <c r="P330" i="18"/>
  <c r="P330" i="9"/>
  <c r="B330" i="18"/>
  <c r="E330" i="16"/>
  <c r="D330" i="9"/>
  <c r="M330" i="9"/>
  <c r="U330" i="12"/>
  <c r="B330" i="9"/>
  <c r="K330" i="18"/>
  <c r="L330" i="12"/>
  <c r="O330" i="9"/>
  <c r="N330" i="16"/>
  <c r="J330" i="16"/>
  <c r="R330" i="12"/>
  <c r="O330" i="19"/>
  <c r="H330" i="19"/>
  <c r="G330" i="19"/>
  <c r="F330" i="19"/>
  <c r="P330" i="12"/>
  <c r="J330" i="12"/>
  <c r="O330" i="12"/>
  <c r="D330" i="12"/>
  <c r="M330" i="19"/>
  <c r="O330" i="17"/>
  <c r="K330" i="19"/>
  <c r="H330" i="17"/>
  <c r="C330" i="12"/>
  <c r="M330" i="17"/>
  <c r="N330" i="17"/>
  <c r="N330" i="19"/>
  <c r="R330" i="17"/>
  <c r="F330" i="17"/>
  <c r="E330" i="12"/>
  <c r="G330" i="9"/>
  <c r="I330" i="9"/>
  <c r="K330" i="17"/>
  <c r="Q330" i="12"/>
  <c r="G330" i="16"/>
  <c r="I330" i="19"/>
  <c r="P330" i="17"/>
  <c r="C330" i="19"/>
  <c r="I330" i="12"/>
  <c r="F330" i="9"/>
  <c r="G330" i="17"/>
  <c r="E330" i="19"/>
  <c r="M330" i="16"/>
  <c r="L330" i="9"/>
  <c r="K330" i="12"/>
  <c r="H330" i="16"/>
  <c r="O330" i="16"/>
  <c r="J330" i="17"/>
  <c r="T330" i="12"/>
  <c r="B330" i="16"/>
  <c r="H330" i="9"/>
  <c r="I330" i="16"/>
  <c r="E330" i="18"/>
  <c r="N330" i="12"/>
  <c r="L330" i="16"/>
  <c r="D330" i="19"/>
  <c r="K330" i="16"/>
  <c r="F330" i="16"/>
  <c r="N330" i="9"/>
  <c r="J330" i="19"/>
  <c r="N330" i="18"/>
  <c r="C330" i="16"/>
  <c r="C330" i="17"/>
  <c r="E330" i="9"/>
  <c r="L330" i="19"/>
  <c r="H330" i="12"/>
  <c r="B330" i="19"/>
  <c r="I330" i="17"/>
  <c r="F330" i="12"/>
  <c r="H330" i="18"/>
  <c r="E13" i="16" l="1"/>
  <c r="E340" i="16"/>
  <c r="E342" i="16" s="1"/>
  <c r="E343" i="16" s="1"/>
  <c r="E336" i="16"/>
  <c r="L13" i="16"/>
  <c r="L336" i="16"/>
  <c r="L340" i="16"/>
  <c r="L342" i="16" s="1"/>
  <c r="L343" i="16" s="1"/>
  <c r="O13" i="16"/>
  <c r="O336" i="16"/>
  <c r="O340" i="16"/>
  <c r="O342" i="16" s="1"/>
  <c r="O343" i="16" s="1"/>
  <c r="P336" i="17"/>
  <c r="P13" i="17"/>
  <c r="P340" i="17"/>
  <c r="P342" i="17" s="1"/>
  <c r="P343" i="17" s="1"/>
  <c r="G13" i="17"/>
  <c r="G340" i="17"/>
  <c r="G342" i="17" s="1"/>
  <c r="G343" i="17" s="1"/>
  <c r="G336" i="17"/>
  <c r="D340" i="17"/>
  <c r="D342" i="17" s="1"/>
  <c r="D343" i="17" s="1"/>
  <c r="D336" i="17"/>
  <c r="D13" i="17"/>
  <c r="M13" i="18"/>
  <c r="M336" i="18"/>
  <c r="M340" i="18"/>
  <c r="M342" i="18" s="1"/>
  <c r="M343" i="18" s="1"/>
  <c r="H13" i="18"/>
  <c r="H336" i="18"/>
  <c r="H340" i="18"/>
  <c r="H342" i="18" s="1"/>
  <c r="H343" i="18" s="1"/>
  <c r="N13" i="18"/>
  <c r="N340" i="18"/>
  <c r="N342" i="18" s="1"/>
  <c r="N343" i="18" s="1"/>
  <c r="N336" i="18"/>
  <c r="F13" i="18"/>
  <c r="F336" i="18"/>
  <c r="F340" i="18"/>
  <c r="F342" i="18" s="1"/>
  <c r="F343" i="18" s="1"/>
  <c r="J13" i="9"/>
  <c r="J340" i="9"/>
  <c r="J342" i="9" s="1"/>
  <c r="J343" i="9" s="1"/>
  <c r="J336" i="9"/>
  <c r="H13" i="9"/>
  <c r="H340" i="9"/>
  <c r="H342" i="9" s="1"/>
  <c r="H343" i="9" s="1"/>
  <c r="H336" i="9"/>
  <c r="C13" i="9"/>
  <c r="C340" i="9"/>
  <c r="C342" i="9" s="1"/>
  <c r="C343" i="9" s="1"/>
  <c r="C336" i="9"/>
  <c r="B13" i="12"/>
  <c r="B336" i="12"/>
  <c r="U13" i="12"/>
  <c r="U340" i="12"/>
  <c r="U342" i="12" s="1"/>
  <c r="U343" i="12" s="1"/>
  <c r="U336" i="12"/>
  <c r="H13" i="12"/>
  <c r="H336" i="12"/>
  <c r="H340" i="12"/>
  <c r="H342" i="12" s="1"/>
  <c r="H343" i="12" s="1"/>
  <c r="R13" i="12"/>
  <c r="R336" i="12"/>
  <c r="R340" i="12"/>
  <c r="R342" i="12" s="1"/>
  <c r="R343" i="12" s="1"/>
  <c r="C13" i="12"/>
  <c r="C340" i="12"/>
  <c r="C342" i="12" s="1"/>
  <c r="C343" i="12" s="1"/>
  <c r="C336" i="12"/>
  <c r="M13" i="12"/>
  <c r="M336" i="12"/>
  <c r="M340" i="12"/>
  <c r="M342" i="12" s="1"/>
  <c r="M343" i="12" s="1"/>
  <c r="N340" i="19"/>
  <c r="N342" i="19" s="1"/>
  <c r="N343" i="19" s="1"/>
  <c r="N13" i="19"/>
  <c r="N336" i="19"/>
  <c r="D340" i="19"/>
  <c r="D342" i="19" s="1"/>
  <c r="D343" i="19" s="1"/>
  <c r="D13" i="19"/>
  <c r="D336" i="19"/>
  <c r="G340" i="19"/>
  <c r="G342" i="19" s="1"/>
  <c r="G343" i="19" s="1"/>
  <c r="G336" i="19"/>
  <c r="G13" i="19"/>
  <c r="G13" i="16"/>
  <c r="G340" i="16"/>
  <c r="G342" i="16" s="1"/>
  <c r="G343" i="16" s="1"/>
  <c r="G336" i="16"/>
  <c r="H13" i="16"/>
  <c r="H340" i="16"/>
  <c r="H342" i="16" s="1"/>
  <c r="H343" i="16" s="1"/>
  <c r="H336" i="16"/>
  <c r="N13" i="16"/>
  <c r="N336" i="16"/>
  <c r="N340" i="16"/>
  <c r="N342" i="16" s="1"/>
  <c r="N343" i="16" s="1"/>
  <c r="M13" i="16"/>
  <c r="M336" i="16"/>
  <c r="M340" i="16"/>
  <c r="M342" i="16" s="1"/>
  <c r="M343" i="16" s="1"/>
  <c r="K13" i="17"/>
  <c r="K340" i="17"/>
  <c r="K342" i="17" s="1"/>
  <c r="K343" i="17" s="1"/>
  <c r="K336" i="17"/>
  <c r="O13" i="17"/>
  <c r="O336" i="17"/>
  <c r="O340" i="17"/>
  <c r="O342" i="17" s="1"/>
  <c r="O343" i="17" s="1"/>
  <c r="B13" i="17"/>
  <c r="B336" i="17"/>
  <c r="M13" i="17"/>
  <c r="M336" i="17"/>
  <c r="M340" i="17"/>
  <c r="M342" i="17" s="1"/>
  <c r="M343" i="17" s="1"/>
  <c r="I13" i="17"/>
  <c r="I336" i="17"/>
  <c r="I340" i="17"/>
  <c r="I342" i="17" s="1"/>
  <c r="I343" i="17" s="1"/>
  <c r="R13" i="17"/>
  <c r="R340" i="17"/>
  <c r="R342" i="17" s="1"/>
  <c r="R343" i="17" s="1"/>
  <c r="R336" i="17"/>
  <c r="B13" i="18"/>
  <c r="B336" i="18"/>
  <c r="C13" i="18"/>
  <c r="C336" i="18"/>
  <c r="C340" i="18"/>
  <c r="C342" i="18" s="1"/>
  <c r="C343" i="18" s="1"/>
  <c r="D13" i="18"/>
  <c r="D336" i="18"/>
  <c r="D340" i="18"/>
  <c r="D342" i="18" s="1"/>
  <c r="D343" i="18" s="1"/>
  <c r="E340" i="9"/>
  <c r="E342" i="9" s="1"/>
  <c r="E343" i="9" s="1"/>
  <c r="E13" i="9"/>
  <c r="E336" i="9"/>
  <c r="P13" i="9"/>
  <c r="P340" i="9"/>
  <c r="P342" i="9" s="1"/>
  <c r="P343" i="9" s="1"/>
  <c r="P336" i="9"/>
  <c r="O340" i="9"/>
  <c r="O342" i="9" s="1"/>
  <c r="O343" i="9" s="1"/>
  <c r="O13" i="9"/>
  <c r="O336" i="9"/>
  <c r="D13" i="12"/>
  <c r="D336" i="12"/>
  <c r="D340" i="12"/>
  <c r="D342" i="12" s="1"/>
  <c r="D343" i="12" s="1"/>
  <c r="E13" i="12"/>
  <c r="E336" i="12"/>
  <c r="E340" i="12"/>
  <c r="E342" i="12" s="1"/>
  <c r="E343" i="12" s="1"/>
  <c r="F13" i="12"/>
  <c r="F336" i="12"/>
  <c r="F340" i="12"/>
  <c r="F342" i="12" s="1"/>
  <c r="F343" i="12" s="1"/>
  <c r="S13" i="12"/>
  <c r="S336" i="12"/>
  <c r="S340" i="12"/>
  <c r="S342" i="12" s="1"/>
  <c r="S343" i="12" s="1"/>
  <c r="G13" i="12"/>
  <c r="G336" i="12"/>
  <c r="G340" i="12"/>
  <c r="G342" i="12" s="1"/>
  <c r="G343" i="12" s="1"/>
  <c r="M13" i="19"/>
  <c r="M336" i="19"/>
  <c r="M340" i="19"/>
  <c r="M342" i="19" s="1"/>
  <c r="M343" i="19" s="1"/>
  <c r="I13" i="19"/>
  <c r="I336" i="19"/>
  <c r="I340" i="19"/>
  <c r="I342" i="19" s="1"/>
  <c r="I343" i="19" s="1"/>
  <c r="E340" i="19"/>
  <c r="E342" i="19" s="1"/>
  <c r="E343" i="19" s="1"/>
  <c r="E336" i="19"/>
  <c r="E15" i="19" s="1"/>
  <c r="B13" i="19"/>
  <c r="B336" i="19"/>
  <c r="K340" i="19"/>
  <c r="K342" i="19" s="1"/>
  <c r="K343" i="19" s="1"/>
  <c r="K13" i="19"/>
  <c r="K336" i="19"/>
  <c r="F340" i="16"/>
  <c r="F342" i="16" s="1"/>
  <c r="F343" i="16" s="1"/>
  <c r="F13" i="16"/>
  <c r="F336" i="16"/>
  <c r="K13" i="16"/>
  <c r="K340" i="16"/>
  <c r="K342" i="16" s="1"/>
  <c r="K343" i="16" s="1"/>
  <c r="K336" i="16"/>
  <c r="J336" i="16"/>
  <c r="J340" i="16"/>
  <c r="J342" i="16" s="1"/>
  <c r="J343" i="16" s="1"/>
  <c r="J13" i="16"/>
  <c r="C336" i="17"/>
  <c r="C340" i="17"/>
  <c r="C342" i="17" s="1"/>
  <c r="C343" i="17" s="1"/>
  <c r="C13" i="17"/>
  <c r="J340" i="17"/>
  <c r="J342" i="17" s="1"/>
  <c r="J343" i="17" s="1"/>
  <c r="J13" i="17"/>
  <c r="J336" i="17"/>
  <c r="N13" i="17"/>
  <c r="N336" i="17"/>
  <c r="N340" i="17"/>
  <c r="N342" i="17" s="1"/>
  <c r="N343" i="17" s="1"/>
  <c r="H336" i="17"/>
  <c r="H13" i="17"/>
  <c r="H340" i="17"/>
  <c r="H342" i="17" s="1"/>
  <c r="H343" i="17" s="1"/>
  <c r="E13" i="17"/>
  <c r="E336" i="17"/>
  <c r="E340" i="17"/>
  <c r="E342" i="17" s="1"/>
  <c r="E343" i="17" s="1"/>
  <c r="G13" i="18"/>
  <c r="G336" i="18"/>
  <c r="G340" i="18"/>
  <c r="G342" i="18" s="1"/>
  <c r="G343" i="18" s="1"/>
  <c r="I340" i="18"/>
  <c r="I342" i="18" s="1"/>
  <c r="I343" i="18" s="1"/>
  <c r="I336" i="18"/>
  <c r="I13" i="18"/>
  <c r="L336" i="18"/>
  <c r="L13" i="18"/>
  <c r="L340" i="18"/>
  <c r="L342" i="18" s="1"/>
  <c r="L343" i="18" s="1"/>
  <c r="E336" i="18"/>
  <c r="E340" i="18"/>
  <c r="E342" i="18" s="1"/>
  <c r="E343" i="18" s="1"/>
  <c r="E13" i="18"/>
  <c r="K336" i="9"/>
  <c r="K340" i="9"/>
  <c r="K342" i="9" s="1"/>
  <c r="K343" i="9" s="1"/>
  <c r="K13" i="9"/>
  <c r="D336" i="9"/>
  <c r="D340" i="9"/>
  <c r="D342" i="9" s="1"/>
  <c r="D343" i="9" s="1"/>
  <c r="D13" i="9"/>
  <c r="L13" i="9"/>
  <c r="L336" i="9"/>
  <c r="L340" i="9"/>
  <c r="L342" i="9" s="1"/>
  <c r="L343" i="9" s="1"/>
  <c r="I340" i="9"/>
  <c r="I342" i="9" s="1"/>
  <c r="I343" i="9" s="1"/>
  <c r="I13" i="9"/>
  <c r="I336" i="9"/>
  <c r="K13" i="12"/>
  <c r="K336" i="12"/>
  <c r="K340" i="12"/>
  <c r="K342" i="12" s="1"/>
  <c r="K343" i="12" s="1"/>
  <c r="N13" i="12"/>
  <c r="N336" i="12"/>
  <c r="N340" i="12"/>
  <c r="N342" i="12" s="1"/>
  <c r="N343" i="12" s="1"/>
  <c r="Q13" i="12"/>
  <c r="Q340" i="12"/>
  <c r="Q342" i="12" s="1"/>
  <c r="Q343" i="12" s="1"/>
  <c r="Q336" i="12"/>
  <c r="I13" i="12"/>
  <c r="I336" i="12"/>
  <c r="I340" i="12"/>
  <c r="I342" i="12" s="1"/>
  <c r="I343" i="12" s="1"/>
  <c r="L13" i="12"/>
  <c r="L336" i="12"/>
  <c r="L340" i="12"/>
  <c r="L342" i="12" s="1"/>
  <c r="L343" i="12" s="1"/>
  <c r="J13" i="19"/>
  <c r="J340" i="19"/>
  <c r="J342" i="19" s="1"/>
  <c r="J343" i="19" s="1"/>
  <c r="J336" i="19"/>
  <c r="F13" i="19"/>
  <c r="F336" i="19"/>
  <c r="F340" i="19"/>
  <c r="F342" i="19" s="1"/>
  <c r="F343" i="19" s="1"/>
  <c r="O340" i="19"/>
  <c r="O342" i="19" s="1"/>
  <c r="O343" i="19" s="1"/>
  <c r="O13" i="19"/>
  <c r="O336" i="19"/>
  <c r="C340" i="16"/>
  <c r="C342" i="16" s="1"/>
  <c r="C343" i="16" s="1"/>
  <c r="B13" i="16"/>
  <c r="I336" i="16"/>
  <c r="I340" i="16"/>
  <c r="I342" i="16" s="1"/>
  <c r="I343" i="16" s="1"/>
  <c r="I13" i="16"/>
  <c r="D13" i="16"/>
  <c r="D340" i="16"/>
  <c r="D342" i="16" s="1"/>
  <c r="D343" i="16" s="1"/>
  <c r="D336" i="16"/>
  <c r="C13" i="16"/>
  <c r="C336" i="16"/>
  <c r="Q340" i="17"/>
  <c r="Q342" i="17" s="1"/>
  <c r="Q343" i="17" s="1"/>
  <c r="Q13" i="17"/>
  <c r="Q336" i="17"/>
  <c r="L13" i="17"/>
  <c r="L336" i="17"/>
  <c r="L340" i="17"/>
  <c r="L342" i="17" s="1"/>
  <c r="L343" i="17" s="1"/>
  <c r="S13" i="17"/>
  <c r="S336" i="17"/>
  <c r="S340" i="17"/>
  <c r="S342" i="17" s="1"/>
  <c r="S343" i="17" s="1"/>
  <c r="F336" i="17"/>
  <c r="F340" i="17"/>
  <c r="F342" i="17" s="1"/>
  <c r="F343" i="17" s="1"/>
  <c r="F13" i="17"/>
  <c r="O13" i="18"/>
  <c r="O340" i="18"/>
  <c r="O342" i="18" s="1"/>
  <c r="O343" i="18" s="1"/>
  <c r="O336" i="18"/>
  <c r="P13" i="18"/>
  <c r="P340" i="18"/>
  <c r="P342" i="18" s="1"/>
  <c r="P343" i="18" s="1"/>
  <c r="P336" i="18"/>
  <c r="J13" i="18"/>
  <c r="J336" i="18"/>
  <c r="J340" i="18"/>
  <c r="J342" i="18" s="1"/>
  <c r="J343" i="18" s="1"/>
  <c r="K13" i="18"/>
  <c r="K340" i="18"/>
  <c r="K342" i="18" s="1"/>
  <c r="K343" i="18" s="1"/>
  <c r="K336" i="18"/>
  <c r="F336" i="9"/>
  <c r="F13" i="9"/>
  <c r="F340" i="9"/>
  <c r="F342" i="9" s="1"/>
  <c r="F343" i="9" s="1"/>
  <c r="B13" i="9"/>
  <c r="B336" i="9"/>
  <c r="N13" i="9"/>
  <c r="N340" i="9"/>
  <c r="N342" i="9" s="1"/>
  <c r="N343" i="9" s="1"/>
  <c r="N336" i="9"/>
  <c r="M13" i="9"/>
  <c r="M336" i="9"/>
  <c r="M340" i="9"/>
  <c r="M342" i="9" s="1"/>
  <c r="M343" i="9" s="1"/>
  <c r="G13" i="9"/>
  <c r="G336" i="9"/>
  <c r="G340" i="9"/>
  <c r="G342" i="9" s="1"/>
  <c r="G343" i="9" s="1"/>
  <c r="J13" i="12"/>
  <c r="J336" i="12"/>
  <c r="J340" i="12"/>
  <c r="J342" i="12" s="1"/>
  <c r="J343" i="12" s="1"/>
  <c r="O13" i="12"/>
  <c r="O340" i="12"/>
  <c r="O342" i="12" s="1"/>
  <c r="O343" i="12" s="1"/>
  <c r="O336" i="12"/>
  <c r="P13" i="12"/>
  <c r="P336" i="12"/>
  <c r="P340" i="12"/>
  <c r="P342" i="12" s="1"/>
  <c r="P343" i="12" s="1"/>
  <c r="T13" i="12"/>
  <c r="T336" i="12"/>
  <c r="T340" i="12"/>
  <c r="T342" i="12" s="1"/>
  <c r="T343" i="12" s="1"/>
  <c r="L13" i="19"/>
  <c r="L340" i="19"/>
  <c r="L342" i="19" s="1"/>
  <c r="L343" i="19" s="1"/>
  <c r="L336" i="19"/>
  <c r="C13" i="19"/>
  <c r="C336" i="19"/>
  <c r="C340" i="19"/>
  <c r="C342" i="19" s="1"/>
  <c r="C343" i="19" s="1"/>
  <c r="H13" i="19"/>
  <c r="H336" i="19"/>
  <c r="H340" i="19"/>
  <c r="H342" i="19" s="1"/>
  <c r="H343" i="19" s="1"/>
  <c r="M337" i="9" l="1"/>
  <c r="M16" i="9" s="1"/>
  <c r="M15" i="9"/>
  <c r="Q15" i="17"/>
  <c r="Q337" i="17"/>
  <c r="Q16" i="17" s="1"/>
  <c r="B337" i="16"/>
  <c r="B16" i="16" s="1"/>
  <c r="B15" i="16"/>
  <c r="I15" i="12"/>
  <c r="I337" i="12"/>
  <c r="I16" i="12" s="1"/>
  <c r="E15" i="18"/>
  <c r="E337" i="18"/>
  <c r="E16" i="18" s="1"/>
  <c r="G15" i="18"/>
  <c r="G337" i="18"/>
  <c r="G16" i="18" s="1"/>
  <c r="K337" i="16"/>
  <c r="K16" i="16" s="1"/>
  <c r="K15" i="16"/>
  <c r="S337" i="12"/>
  <c r="S16" i="12" s="1"/>
  <c r="S15" i="12"/>
  <c r="P337" i="9"/>
  <c r="P16" i="9" s="1"/>
  <c r="P15" i="9"/>
  <c r="R337" i="17"/>
  <c r="R16" i="17" s="1"/>
  <c r="R15" i="17"/>
  <c r="I15" i="17"/>
  <c r="I337" i="17"/>
  <c r="I16" i="17" s="1"/>
  <c r="O337" i="17"/>
  <c r="O16" i="17" s="1"/>
  <c r="O15" i="17"/>
  <c r="C15" i="12"/>
  <c r="C337" i="12"/>
  <c r="C16" i="12" s="1"/>
  <c r="R337" i="12"/>
  <c r="R16" i="12" s="1"/>
  <c r="R15" i="12"/>
  <c r="U337" i="12"/>
  <c r="U16" i="12" s="1"/>
  <c r="U15" i="12"/>
  <c r="H337" i="9"/>
  <c r="H16" i="9" s="1"/>
  <c r="H15" i="9"/>
  <c r="N337" i="18"/>
  <c r="N16" i="18" s="1"/>
  <c r="N15" i="18"/>
  <c r="H337" i="18"/>
  <c r="H16" i="18" s="1"/>
  <c r="H15" i="18"/>
  <c r="D337" i="17"/>
  <c r="D16" i="17" s="1"/>
  <c r="D15" i="17"/>
  <c r="P337" i="12"/>
  <c r="P16" i="12" s="1"/>
  <c r="P15" i="12"/>
  <c r="G337" i="9"/>
  <c r="G16" i="9" s="1"/>
  <c r="G15" i="9"/>
  <c r="B15" i="9"/>
  <c r="B337" i="9"/>
  <c r="B16" i="9" s="1"/>
  <c r="F337" i="9"/>
  <c r="F16" i="9" s="1"/>
  <c r="F15" i="9"/>
  <c r="J337" i="18"/>
  <c r="J16" i="18" s="1"/>
  <c r="J15" i="18"/>
  <c r="D337" i="16"/>
  <c r="D16" i="16" s="1"/>
  <c r="D15" i="16"/>
  <c r="F337" i="19"/>
  <c r="F16" i="19" s="1"/>
  <c r="F15" i="19"/>
  <c r="K15" i="12"/>
  <c r="K337" i="12"/>
  <c r="K16" i="12" s="1"/>
  <c r="K337" i="9"/>
  <c r="K16" i="9" s="1"/>
  <c r="K15" i="9"/>
  <c r="I15" i="18"/>
  <c r="I337" i="18"/>
  <c r="I16" i="18" s="1"/>
  <c r="J337" i="17"/>
  <c r="J16" i="17" s="1"/>
  <c r="J15" i="17"/>
  <c r="J337" i="16"/>
  <c r="J16" i="16" s="1"/>
  <c r="J15" i="16"/>
  <c r="B337" i="19"/>
  <c r="B16" i="19" s="1"/>
  <c r="B15" i="19"/>
  <c r="G337" i="12"/>
  <c r="G16" i="12" s="1"/>
  <c r="G15" i="12"/>
  <c r="D337" i="12"/>
  <c r="D16" i="12" s="1"/>
  <c r="D15" i="12"/>
  <c r="B337" i="17"/>
  <c r="B16" i="17" s="1"/>
  <c r="B15" i="17"/>
  <c r="N337" i="16"/>
  <c r="N16" i="16" s="1"/>
  <c r="N15" i="16"/>
  <c r="G337" i="19"/>
  <c r="G16" i="19" s="1"/>
  <c r="G15" i="19"/>
  <c r="C15" i="9"/>
  <c r="C337" i="9"/>
  <c r="C16" i="9" s="1"/>
  <c r="L337" i="16"/>
  <c r="L16" i="16" s="1"/>
  <c r="L15" i="16"/>
  <c r="C337" i="19"/>
  <c r="C16" i="19" s="1"/>
  <c r="C15" i="19"/>
  <c r="J337" i="12"/>
  <c r="J16" i="12" s="1"/>
  <c r="J15" i="12"/>
  <c r="N337" i="9"/>
  <c r="N16" i="9" s="1"/>
  <c r="N15" i="9"/>
  <c r="K337" i="18"/>
  <c r="K16" i="18" s="1"/>
  <c r="K15" i="18"/>
  <c r="O15" i="18"/>
  <c r="O337" i="18"/>
  <c r="O16" i="18" s="1"/>
  <c r="L15" i="17"/>
  <c r="L337" i="17"/>
  <c r="L16" i="17" s="1"/>
  <c r="I337" i="16"/>
  <c r="I16" i="16" s="1"/>
  <c r="I15" i="16"/>
  <c r="O337" i="19"/>
  <c r="O16" i="19" s="1"/>
  <c r="O15" i="19"/>
  <c r="J337" i="19"/>
  <c r="J16" i="19" s="1"/>
  <c r="J15" i="19"/>
  <c r="L337" i="12"/>
  <c r="L16" i="12" s="1"/>
  <c r="L15" i="12"/>
  <c r="Q337" i="12"/>
  <c r="Q16" i="12" s="1"/>
  <c r="Q15" i="12"/>
  <c r="N337" i="12"/>
  <c r="N16" i="12" s="1"/>
  <c r="N15" i="12"/>
  <c r="H337" i="17"/>
  <c r="H16" i="17" s="1"/>
  <c r="H15" i="17"/>
  <c r="C15" i="17"/>
  <c r="C337" i="17"/>
  <c r="C16" i="17" s="1"/>
  <c r="K337" i="19"/>
  <c r="K16" i="19" s="1"/>
  <c r="K15" i="19"/>
  <c r="M337" i="19"/>
  <c r="M16" i="19" s="1"/>
  <c r="M15" i="19"/>
  <c r="E337" i="12"/>
  <c r="E16" i="12" s="1"/>
  <c r="E15" i="12"/>
  <c r="O337" i="9"/>
  <c r="O16" i="9" s="1"/>
  <c r="O15" i="9"/>
  <c r="C337" i="18"/>
  <c r="C16" i="18" s="1"/>
  <c r="C15" i="18"/>
  <c r="K337" i="17"/>
  <c r="K16" i="17" s="1"/>
  <c r="K15" i="17"/>
  <c r="M15" i="16"/>
  <c r="M337" i="16"/>
  <c r="M16" i="16" s="1"/>
  <c r="G15" i="16"/>
  <c r="G337" i="16"/>
  <c r="G16" i="16" s="1"/>
  <c r="N337" i="19"/>
  <c r="N16" i="19" s="1"/>
  <c r="N15" i="19"/>
  <c r="M337" i="12"/>
  <c r="M16" i="12" s="1"/>
  <c r="M15" i="12"/>
  <c r="J337" i="9"/>
  <c r="J16" i="9" s="1"/>
  <c r="J15" i="9"/>
  <c r="F337" i="18"/>
  <c r="F16" i="18" s="1"/>
  <c r="F15" i="18"/>
  <c r="G15" i="17"/>
  <c r="G337" i="17"/>
  <c r="G16" i="17" s="1"/>
  <c r="H337" i="19"/>
  <c r="H16" i="19" s="1"/>
  <c r="H15" i="19"/>
  <c r="L337" i="19"/>
  <c r="L16" i="19" s="1"/>
  <c r="L15" i="19"/>
  <c r="T337" i="12"/>
  <c r="T16" i="12" s="1"/>
  <c r="T15" i="12"/>
  <c r="O337" i="12"/>
  <c r="O16" i="12" s="1"/>
  <c r="O15" i="12"/>
  <c r="P337" i="18"/>
  <c r="P16" i="18" s="1"/>
  <c r="P15" i="18"/>
  <c r="F337" i="17"/>
  <c r="F16" i="17" s="1"/>
  <c r="F15" i="17"/>
  <c r="S337" i="17"/>
  <c r="S16" i="17" s="1"/>
  <c r="S15" i="17"/>
  <c r="C337" i="16"/>
  <c r="C16" i="16" s="1"/>
  <c r="C15" i="16"/>
  <c r="I337" i="9"/>
  <c r="I16" i="9" s="1"/>
  <c r="I15" i="9"/>
  <c r="L15" i="9"/>
  <c r="L337" i="9"/>
  <c r="L16" i="9" s="1"/>
  <c r="D337" i="9"/>
  <c r="D16" i="9" s="1"/>
  <c r="D15" i="9"/>
  <c r="L337" i="18"/>
  <c r="L16" i="18" s="1"/>
  <c r="L15" i="18"/>
  <c r="E337" i="17"/>
  <c r="E16" i="17" s="1"/>
  <c r="E15" i="17"/>
  <c r="N337" i="17"/>
  <c r="N16" i="17" s="1"/>
  <c r="N15" i="17"/>
  <c r="F15" i="16"/>
  <c r="F337" i="16"/>
  <c r="F16" i="16" s="1"/>
  <c r="E337" i="19"/>
  <c r="E16" i="19" s="1"/>
  <c r="I337" i="19"/>
  <c r="I16" i="19" s="1"/>
  <c r="I15" i="19"/>
  <c r="F337" i="12"/>
  <c r="F16" i="12" s="1"/>
  <c r="F15" i="12"/>
  <c r="E337" i="9"/>
  <c r="E16" i="9" s="1"/>
  <c r="E15" i="9"/>
  <c r="D337" i="18"/>
  <c r="D16" i="18" s="1"/>
  <c r="D15" i="18"/>
  <c r="B337" i="18"/>
  <c r="B16" i="18" s="1"/>
  <c r="B15" i="18"/>
  <c r="M337" i="17"/>
  <c r="M16" i="17" s="1"/>
  <c r="M15" i="17"/>
  <c r="H337" i="16"/>
  <c r="H16" i="16" s="1"/>
  <c r="H15" i="16"/>
  <c r="D337" i="19"/>
  <c r="D16" i="19" s="1"/>
  <c r="D15" i="19"/>
  <c r="H337" i="12"/>
  <c r="H16" i="12" s="1"/>
  <c r="H15" i="12"/>
  <c r="B15" i="12"/>
  <c r="B337" i="12"/>
  <c r="B16" i="12" s="1"/>
  <c r="M337" i="18"/>
  <c r="M16" i="18" s="1"/>
  <c r="M15" i="18"/>
  <c r="P15" i="17"/>
  <c r="P337" i="17"/>
  <c r="P16" i="17" s="1"/>
  <c r="O337" i="16"/>
  <c r="O16" i="16" s="1"/>
  <c r="O15" i="16"/>
  <c r="E337" i="16"/>
  <c r="E16" i="16" s="1"/>
  <c r="E15" i="16"/>
  <c r="B37" i="25" l="1"/>
  <c r="C37" i="25" s="1"/>
  <c r="B34" i="25"/>
  <c r="C34" i="25" s="1"/>
  <c r="B33" i="25"/>
  <c r="C33" i="25" s="1"/>
  <c r="B39" i="25"/>
  <c r="C39" i="25" s="1"/>
  <c r="B38" i="25"/>
  <c r="C38" i="25" s="1"/>
  <c r="B35" i="25"/>
  <c r="C35" i="25" s="1"/>
  <c r="C29" i="4"/>
  <c r="C34" i="4" s="1"/>
  <c r="C39" i="4" l="1"/>
  <c r="C4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200-000001000000}">
      <text>
        <r>
          <rPr>
            <b/>
            <sz val="9"/>
            <color indexed="81"/>
            <rFont val="Tahoma"/>
            <family val="2"/>
          </rPr>
          <t>Author:</t>
        </r>
        <r>
          <rPr>
            <sz val="9"/>
            <color indexed="81"/>
            <rFont val="Tahoma"/>
            <family val="2"/>
          </rPr>
          <t xml:space="preserve">
As Energy Efficiency is the first, least expensive option, the only case used from this sheet is the Baseline case</t>
        </r>
      </text>
    </comment>
    <comment ref="A197" authorId="0" shapeId="0" xr:uid="{00000000-0006-0000-0200-000002000000}">
      <text>
        <r>
          <rPr>
            <b/>
            <sz val="9"/>
            <color indexed="81"/>
            <rFont val="Tahoma"/>
            <family val="2"/>
          </rPr>
          <t>Author:</t>
        </r>
        <r>
          <rPr>
            <sz val="9"/>
            <color indexed="81"/>
            <rFont val="Tahoma"/>
            <family val="2"/>
          </rPr>
          <t xml:space="preserve">
Already Included in Purchase Cost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5" authorId="0" shapeId="0" xr:uid="{00000000-0006-0000-0600-000001000000}">
      <text>
        <r>
          <rPr>
            <b/>
            <sz val="9"/>
            <color indexed="81"/>
            <rFont val="Tahoma"/>
            <family val="2"/>
          </rPr>
          <t>Author:</t>
        </r>
        <r>
          <rPr>
            <sz val="9"/>
            <color indexed="81"/>
            <rFont val="Tahoma"/>
            <family val="2"/>
          </rPr>
          <t xml:space="preserve">
Already Included in Purchase Cost</t>
        </r>
      </text>
    </comment>
    <comment ref="A234" authorId="0" shapeId="0" xr:uid="{00000000-0006-0000-0600-000002000000}">
      <text>
        <r>
          <rPr>
            <b/>
            <sz val="9"/>
            <color indexed="81"/>
            <rFont val="Tahoma"/>
            <family val="2"/>
          </rPr>
          <t>Author:</t>
        </r>
        <r>
          <rPr>
            <sz val="9"/>
            <color indexed="81"/>
            <rFont val="Tahoma"/>
            <family val="2"/>
          </rPr>
          <t xml:space="preserve">
If the generator utilization is less than 30% then a new small generator is purchased
(This assumes that the O&amp;M costs for the generator set would not change as the O&amp;M cost for the new generator would offset some of the O&amp;M cost for the existing generator)</t>
        </r>
      </text>
    </comment>
    <comment ref="B334" authorId="0" shapeId="0" xr:uid="{00000000-0006-0000-0600-000003000000}">
      <text>
        <r>
          <rPr>
            <b/>
            <sz val="9"/>
            <color indexed="81"/>
            <rFont val="Tahoma"/>
            <family val="2"/>
          </rPr>
          <t>Author:</t>
        </r>
        <r>
          <rPr>
            <sz val="9"/>
            <color indexed="81"/>
            <rFont val="Tahoma"/>
            <family val="2"/>
          </rPr>
          <t xml:space="preserve">
NPV Values are normalized to the Baseline </t>
        </r>
      </text>
    </comment>
    <comment ref="C334" authorId="0" shapeId="0" xr:uid="{00000000-0006-0000-0600-000004000000}">
      <text>
        <r>
          <rPr>
            <b/>
            <sz val="9"/>
            <color indexed="81"/>
            <rFont val="Tahoma"/>
            <family val="2"/>
          </rPr>
          <t>Author:</t>
        </r>
        <r>
          <rPr>
            <sz val="9"/>
            <color indexed="81"/>
            <rFont val="Tahoma"/>
            <family val="2"/>
          </rPr>
          <t xml:space="preserve">
NPV Values are normalized to the Baseline </t>
        </r>
      </text>
    </comment>
    <comment ref="D334" authorId="0" shapeId="0" xr:uid="{00000000-0006-0000-0600-000005000000}">
      <text>
        <r>
          <rPr>
            <b/>
            <sz val="9"/>
            <color indexed="81"/>
            <rFont val="Tahoma"/>
            <family val="2"/>
          </rPr>
          <t>Author:</t>
        </r>
        <r>
          <rPr>
            <sz val="9"/>
            <color indexed="81"/>
            <rFont val="Tahoma"/>
            <family val="2"/>
          </rPr>
          <t xml:space="preserve">
NPV Values are normalized to the Baseline </t>
        </r>
      </text>
    </comment>
    <comment ref="E334" authorId="0" shapeId="0" xr:uid="{00000000-0006-0000-0600-000006000000}">
      <text>
        <r>
          <rPr>
            <b/>
            <sz val="9"/>
            <color indexed="81"/>
            <rFont val="Tahoma"/>
            <family val="2"/>
          </rPr>
          <t>Author:</t>
        </r>
        <r>
          <rPr>
            <sz val="9"/>
            <color indexed="81"/>
            <rFont val="Tahoma"/>
            <family val="2"/>
          </rPr>
          <t xml:space="preserve">
NPV Values are normalized to the Baseline </t>
        </r>
      </text>
    </comment>
    <comment ref="F334" authorId="0" shapeId="0" xr:uid="{00000000-0006-0000-0600-000007000000}">
      <text>
        <r>
          <rPr>
            <b/>
            <sz val="9"/>
            <color indexed="81"/>
            <rFont val="Tahoma"/>
            <family val="2"/>
          </rPr>
          <t>Author:</t>
        </r>
        <r>
          <rPr>
            <sz val="9"/>
            <color indexed="81"/>
            <rFont val="Tahoma"/>
            <family val="2"/>
          </rPr>
          <t xml:space="preserve">
NPV Values are normalized to the Baseline </t>
        </r>
      </text>
    </comment>
    <comment ref="G334" authorId="0" shapeId="0" xr:uid="{00000000-0006-0000-0600-000008000000}">
      <text>
        <r>
          <rPr>
            <b/>
            <sz val="9"/>
            <color indexed="81"/>
            <rFont val="Tahoma"/>
            <family val="2"/>
          </rPr>
          <t>Author:</t>
        </r>
        <r>
          <rPr>
            <sz val="9"/>
            <color indexed="81"/>
            <rFont val="Tahoma"/>
            <family val="2"/>
          </rPr>
          <t xml:space="preserve">
NPV Values are normalized to the Baseline </t>
        </r>
      </text>
    </comment>
    <comment ref="H334" authorId="0" shapeId="0" xr:uid="{00000000-0006-0000-0600-000009000000}">
      <text>
        <r>
          <rPr>
            <b/>
            <sz val="9"/>
            <color indexed="81"/>
            <rFont val="Tahoma"/>
            <family val="2"/>
          </rPr>
          <t>Author:</t>
        </r>
        <r>
          <rPr>
            <sz val="9"/>
            <color indexed="81"/>
            <rFont val="Tahoma"/>
            <family val="2"/>
          </rPr>
          <t xml:space="preserve">
NPV Values are normalized to the Baseline </t>
        </r>
      </text>
    </comment>
    <comment ref="I334" authorId="0" shapeId="0" xr:uid="{00000000-0006-0000-0600-00000A000000}">
      <text>
        <r>
          <rPr>
            <b/>
            <sz val="9"/>
            <color indexed="81"/>
            <rFont val="Tahoma"/>
            <family val="2"/>
          </rPr>
          <t>Author:</t>
        </r>
        <r>
          <rPr>
            <sz val="9"/>
            <color indexed="81"/>
            <rFont val="Tahoma"/>
            <family val="2"/>
          </rPr>
          <t xml:space="preserve">
NPV Values are normalized to the Baseline </t>
        </r>
      </text>
    </comment>
    <comment ref="J334" authorId="0" shapeId="0" xr:uid="{00000000-0006-0000-0600-00000B000000}">
      <text>
        <r>
          <rPr>
            <b/>
            <sz val="9"/>
            <color indexed="81"/>
            <rFont val="Tahoma"/>
            <family val="2"/>
          </rPr>
          <t>Author:</t>
        </r>
        <r>
          <rPr>
            <sz val="9"/>
            <color indexed="81"/>
            <rFont val="Tahoma"/>
            <family val="2"/>
          </rPr>
          <t xml:space="preserve">
NPV Values are normalized to the Baseline </t>
        </r>
      </text>
    </comment>
    <comment ref="K334" authorId="0" shapeId="0" xr:uid="{00000000-0006-0000-0600-00000C000000}">
      <text>
        <r>
          <rPr>
            <b/>
            <sz val="9"/>
            <color indexed="81"/>
            <rFont val="Tahoma"/>
            <family val="2"/>
          </rPr>
          <t>Author:</t>
        </r>
        <r>
          <rPr>
            <sz val="9"/>
            <color indexed="81"/>
            <rFont val="Tahoma"/>
            <family val="2"/>
          </rPr>
          <t xml:space="preserve">
NPV Values are normalized to the Baseline </t>
        </r>
      </text>
    </comment>
    <comment ref="L334" authorId="0" shapeId="0" xr:uid="{00000000-0006-0000-0600-00000D000000}">
      <text>
        <r>
          <rPr>
            <b/>
            <sz val="9"/>
            <color indexed="81"/>
            <rFont val="Tahoma"/>
            <family val="2"/>
          </rPr>
          <t>Author:</t>
        </r>
        <r>
          <rPr>
            <sz val="9"/>
            <color indexed="81"/>
            <rFont val="Tahoma"/>
            <family val="2"/>
          </rPr>
          <t xml:space="preserve">
NPV Values are normalized to the Baseline </t>
        </r>
      </text>
    </comment>
    <comment ref="M334" authorId="0" shapeId="0" xr:uid="{00000000-0006-0000-0600-00000E000000}">
      <text>
        <r>
          <rPr>
            <b/>
            <sz val="9"/>
            <color indexed="81"/>
            <rFont val="Tahoma"/>
            <family val="2"/>
          </rPr>
          <t>Author:</t>
        </r>
        <r>
          <rPr>
            <sz val="9"/>
            <color indexed="81"/>
            <rFont val="Tahoma"/>
            <family val="2"/>
          </rPr>
          <t xml:space="preserve">
NPV Values are normalized to the Baseline </t>
        </r>
      </text>
    </comment>
    <comment ref="N334" authorId="0" shapeId="0" xr:uid="{00000000-0006-0000-0600-00000F000000}">
      <text>
        <r>
          <rPr>
            <b/>
            <sz val="9"/>
            <color indexed="81"/>
            <rFont val="Tahoma"/>
            <family val="2"/>
          </rPr>
          <t>Author:</t>
        </r>
        <r>
          <rPr>
            <sz val="9"/>
            <color indexed="81"/>
            <rFont val="Tahoma"/>
            <family val="2"/>
          </rPr>
          <t xml:space="preserve">
NPV Values are normalized to the Baseline </t>
        </r>
      </text>
    </comment>
    <comment ref="O334" authorId="0" shapeId="0" xr:uid="{00000000-0006-0000-0600-000010000000}">
      <text>
        <r>
          <rPr>
            <b/>
            <sz val="9"/>
            <color indexed="81"/>
            <rFont val="Tahoma"/>
            <family val="2"/>
          </rPr>
          <t>Author:</t>
        </r>
        <r>
          <rPr>
            <sz val="9"/>
            <color indexed="81"/>
            <rFont val="Tahoma"/>
            <family val="2"/>
          </rPr>
          <t xml:space="preserve">
NPV Values are normalized to the Baseline </t>
        </r>
      </text>
    </comment>
    <comment ref="P334" authorId="0" shapeId="0" xr:uid="{00000000-0006-0000-0600-000011000000}">
      <text>
        <r>
          <rPr>
            <b/>
            <sz val="9"/>
            <color indexed="81"/>
            <rFont val="Tahoma"/>
            <family val="2"/>
          </rPr>
          <t>Author:</t>
        </r>
        <r>
          <rPr>
            <sz val="9"/>
            <color indexed="81"/>
            <rFont val="Tahoma"/>
            <family val="2"/>
          </rPr>
          <t xml:space="preserve">
NPV Values are normalized to the Baseline </t>
        </r>
      </text>
    </comment>
    <comment ref="A335" authorId="0" shapeId="0" xr:uid="{00000000-0006-0000-0600-000012000000}">
      <text>
        <r>
          <rPr>
            <b/>
            <sz val="9"/>
            <color indexed="81"/>
            <rFont val="Tahoma"/>
            <family val="2"/>
          </rPr>
          <t>Author:</t>
        </r>
        <r>
          <rPr>
            <sz val="9"/>
            <color indexed="81"/>
            <rFont val="Tahoma"/>
            <family val="2"/>
          </rPr>
          <t xml:space="preserve">
Value of Heating Fuel Deferred - Cost of Stove System</t>
        </r>
      </text>
    </comment>
    <comment ref="B335" authorId="0" shapeId="0" xr:uid="{00000000-0006-0000-0600-000013000000}">
      <text>
        <r>
          <rPr>
            <b/>
            <sz val="9"/>
            <color indexed="81"/>
            <rFont val="Tahoma"/>
            <family val="2"/>
          </rPr>
          <t>Author:</t>
        </r>
        <r>
          <rPr>
            <sz val="9"/>
            <color indexed="81"/>
            <rFont val="Tahoma"/>
            <family val="2"/>
          </rPr>
          <t xml:space="preserve">
NPV Values are normalized to the Baseline </t>
        </r>
      </text>
    </comment>
    <comment ref="A341" authorId="0" shapeId="0" xr:uid="{00000000-0006-0000-0600-000014000000}">
      <text>
        <r>
          <rPr>
            <b/>
            <sz val="9"/>
            <color indexed="81"/>
            <rFont val="Tahoma"/>
            <family val="2"/>
          </rPr>
          <t>Author:</t>
        </r>
        <r>
          <rPr>
            <sz val="9"/>
            <color indexed="81"/>
            <rFont val="Tahoma"/>
            <family val="2"/>
          </rPr>
          <t xml:space="preserve">
Value of Heating Fuel Deferred - Cost of Stove System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5" authorId="0" shapeId="0" xr:uid="{00000000-0006-0000-0700-000001000000}">
      <text>
        <r>
          <rPr>
            <b/>
            <sz val="9"/>
            <color indexed="81"/>
            <rFont val="Tahoma"/>
            <family val="2"/>
          </rPr>
          <t>Author:</t>
        </r>
        <r>
          <rPr>
            <sz val="9"/>
            <color indexed="81"/>
            <rFont val="Tahoma"/>
            <family val="2"/>
          </rPr>
          <t xml:space="preserve">
Already Included in Purchase Cost</t>
        </r>
      </text>
    </comment>
    <comment ref="A234" authorId="0" shapeId="0" xr:uid="{00000000-0006-0000-0700-000002000000}">
      <text>
        <r>
          <rPr>
            <b/>
            <sz val="9"/>
            <color indexed="81"/>
            <rFont val="Tahoma"/>
            <family val="2"/>
          </rPr>
          <t>Author:</t>
        </r>
        <r>
          <rPr>
            <sz val="9"/>
            <color indexed="81"/>
            <rFont val="Tahoma"/>
            <family val="2"/>
          </rPr>
          <t xml:space="preserve">
If the generator utilization is less than 30% then a new small generator is purchased
(This assumes that the O&amp;M costs for the generator set would not change as the O&amp;M cost for the new generator would offset some of the O&amp;M cost for the existing generator)</t>
        </r>
      </text>
    </comment>
    <comment ref="B334" authorId="0" shapeId="0" xr:uid="{00000000-0006-0000-0700-000003000000}">
      <text>
        <r>
          <rPr>
            <b/>
            <sz val="9"/>
            <color indexed="81"/>
            <rFont val="Tahoma"/>
            <family val="2"/>
          </rPr>
          <t>Author:</t>
        </r>
        <r>
          <rPr>
            <sz val="9"/>
            <color indexed="81"/>
            <rFont val="Tahoma"/>
            <family val="2"/>
          </rPr>
          <t xml:space="preserve">
NPV Values are normalized to the Baseline </t>
        </r>
      </text>
    </comment>
    <comment ref="C334" authorId="0" shapeId="0" xr:uid="{00000000-0006-0000-0700-000004000000}">
      <text>
        <r>
          <rPr>
            <b/>
            <sz val="9"/>
            <color indexed="81"/>
            <rFont val="Tahoma"/>
            <family val="2"/>
          </rPr>
          <t>Author:</t>
        </r>
        <r>
          <rPr>
            <sz val="9"/>
            <color indexed="81"/>
            <rFont val="Tahoma"/>
            <family val="2"/>
          </rPr>
          <t xml:space="preserve">
NPV Values are normalized to the Baseline </t>
        </r>
      </text>
    </comment>
    <comment ref="D334" authorId="0" shapeId="0" xr:uid="{00000000-0006-0000-0700-000005000000}">
      <text>
        <r>
          <rPr>
            <b/>
            <sz val="9"/>
            <color indexed="81"/>
            <rFont val="Tahoma"/>
            <family val="2"/>
          </rPr>
          <t>Author:</t>
        </r>
        <r>
          <rPr>
            <sz val="9"/>
            <color indexed="81"/>
            <rFont val="Tahoma"/>
            <family val="2"/>
          </rPr>
          <t xml:space="preserve">
NPV Values are normalized to the Baseline </t>
        </r>
      </text>
    </comment>
    <comment ref="E334" authorId="0" shapeId="0" xr:uid="{00000000-0006-0000-0700-000006000000}">
      <text>
        <r>
          <rPr>
            <b/>
            <sz val="9"/>
            <color indexed="81"/>
            <rFont val="Tahoma"/>
            <family val="2"/>
          </rPr>
          <t>Author:</t>
        </r>
        <r>
          <rPr>
            <sz val="9"/>
            <color indexed="81"/>
            <rFont val="Tahoma"/>
            <family val="2"/>
          </rPr>
          <t xml:space="preserve">
NPV Values are normalized to the Baseline </t>
        </r>
      </text>
    </comment>
    <comment ref="F334" authorId="0" shapeId="0" xr:uid="{00000000-0006-0000-0700-000007000000}">
      <text>
        <r>
          <rPr>
            <b/>
            <sz val="9"/>
            <color indexed="81"/>
            <rFont val="Tahoma"/>
            <family val="2"/>
          </rPr>
          <t>Author:</t>
        </r>
        <r>
          <rPr>
            <sz val="9"/>
            <color indexed="81"/>
            <rFont val="Tahoma"/>
            <family val="2"/>
          </rPr>
          <t xml:space="preserve">
NPV Values are normalized to the Baseline </t>
        </r>
      </text>
    </comment>
    <comment ref="G334" authorId="0" shapeId="0" xr:uid="{00000000-0006-0000-0700-000008000000}">
      <text>
        <r>
          <rPr>
            <b/>
            <sz val="9"/>
            <color indexed="81"/>
            <rFont val="Tahoma"/>
            <family val="2"/>
          </rPr>
          <t>Author:</t>
        </r>
        <r>
          <rPr>
            <sz val="9"/>
            <color indexed="81"/>
            <rFont val="Tahoma"/>
            <family val="2"/>
          </rPr>
          <t xml:space="preserve">
NPV Values are normalized to the Baseline </t>
        </r>
      </text>
    </comment>
    <comment ref="H334" authorId="0" shapeId="0" xr:uid="{00000000-0006-0000-0700-000009000000}">
      <text>
        <r>
          <rPr>
            <b/>
            <sz val="9"/>
            <color indexed="81"/>
            <rFont val="Tahoma"/>
            <family val="2"/>
          </rPr>
          <t>Author:</t>
        </r>
        <r>
          <rPr>
            <sz val="9"/>
            <color indexed="81"/>
            <rFont val="Tahoma"/>
            <family val="2"/>
          </rPr>
          <t xml:space="preserve">
NPV Values are normalized to the Baseline </t>
        </r>
      </text>
    </comment>
    <comment ref="I334" authorId="0" shapeId="0" xr:uid="{00000000-0006-0000-0700-00000A000000}">
      <text>
        <r>
          <rPr>
            <b/>
            <sz val="9"/>
            <color indexed="81"/>
            <rFont val="Tahoma"/>
            <family val="2"/>
          </rPr>
          <t>Author:</t>
        </r>
        <r>
          <rPr>
            <sz val="9"/>
            <color indexed="81"/>
            <rFont val="Tahoma"/>
            <family val="2"/>
          </rPr>
          <t xml:space="preserve">
NPV Values are normalized to the Baseline </t>
        </r>
      </text>
    </comment>
    <comment ref="J334" authorId="0" shapeId="0" xr:uid="{00000000-0006-0000-0700-00000B000000}">
      <text>
        <r>
          <rPr>
            <b/>
            <sz val="9"/>
            <color indexed="81"/>
            <rFont val="Tahoma"/>
            <family val="2"/>
          </rPr>
          <t>Author:</t>
        </r>
        <r>
          <rPr>
            <sz val="9"/>
            <color indexed="81"/>
            <rFont val="Tahoma"/>
            <family val="2"/>
          </rPr>
          <t xml:space="preserve">
NPV Values are normalized to the Baseline </t>
        </r>
      </text>
    </comment>
    <comment ref="K334" authorId="0" shapeId="0" xr:uid="{00000000-0006-0000-0700-00000C000000}">
      <text>
        <r>
          <rPr>
            <b/>
            <sz val="9"/>
            <color indexed="81"/>
            <rFont val="Tahoma"/>
            <family val="2"/>
          </rPr>
          <t>Author:</t>
        </r>
        <r>
          <rPr>
            <sz val="9"/>
            <color indexed="81"/>
            <rFont val="Tahoma"/>
            <family val="2"/>
          </rPr>
          <t xml:space="preserve">
NPV Values are normalized to the Baseline </t>
        </r>
      </text>
    </comment>
    <comment ref="L334" authorId="0" shapeId="0" xr:uid="{00000000-0006-0000-0700-00000D000000}">
      <text>
        <r>
          <rPr>
            <b/>
            <sz val="9"/>
            <color indexed="81"/>
            <rFont val="Tahoma"/>
            <family val="2"/>
          </rPr>
          <t>Author:</t>
        </r>
        <r>
          <rPr>
            <sz val="9"/>
            <color indexed="81"/>
            <rFont val="Tahoma"/>
            <family val="2"/>
          </rPr>
          <t xml:space="preserve">
NPV Values are normalized to the Baseline </t>
        </r>
      </text>
    </comment>
    <comment ref="M334" authorId="0" shapeId="0" xr:uid="{00000000-0006-0000-0700-00000E000000}">
      <text>
        <r>
          <rPr>
            <b/>
            <sz val="9"/>
            <color indexed="81"/>
            <rFont val="Tahoma"/>
            <family val="2"/>
          </rPr>
          <t>Author:</t>
        </r>
        <r>
          <rPr>
            <sz val="9"/>
            <color indexed="81"/>
            <rFont val="Tahoma"/>
            <family val="2"/>
          </rPr>
          <t xml:space="preserve">
NPV Values are normalized to the Baseline </t>
        </r>
      </text>
    </comment>
    <comment ref="N334" authorId="0" shapeId="0" xr:uid="{00000000-0006-0000-0700-00000F000000}">
      <text>
        <r>
          <rPr>
            <b/>
            <sz val="9"/>
            <color indexed="81"/>
            <rFont val="Tahoma"/>
            <family val="2"/>
          </rPr>
          <t>Author:</t>
        </r>
        <r>
          <rPr>
            <sz val="9"/>
            <color indexed="81"/>
            <rFont val="Tahoma"/>
            <family val="2"/>
          </rPr>
          <t xml:space="preserve">
NPV Values are normalized to the Baseline </t>
        </r>
      </text>
    </comment>
    <comment ref="O334" authorId="0" shapeId="0" xr:uid="{00000000-0006-0000-0700-000010000000}">
      <text>
        <r>
          <rPr>
            <b/>
            <sz val="9"/>
            <color indexed="81"/>
            <rFont val="Tahoma"/>
            <family val="2"/>
          </rPr>
          <t>Author:</t>
        </r>
        <r>
          <rPr>
            <sz val="9"/>
            <color indexed="81"/>
            <rFont val="Tahoma"/>
            <family val="2"/>
          </rPr>
          <t xml:space="preserve">
NPV Values are normalized to the Baseline </t>
        </r>
      </text>
    </comment>
    <comment ref="A335" authorId="0" shapeId="0" xr:uid="{00000000-0006-0000-0700-000011000000}">
      <text>
        <r>
          <rPr>
            <b/>
            <sz val="9"/>
            <color indexed="81"/>
            <rFont val="Tahoma"/>
            <family val="2"/>
          </rPr>
          <t>Author:</t>
        </r>
        <r>
          <rPr>
            <sz val="9"/>
            <color indexed="81"/>
            <rFont val="Tahoma"/>
            <family val="2"/>
          </rPr>
          <t xml:space="preserve">
Value of Heating Fuel Deferred - Cost of Stove System</t>
        </r>
      </text>
    </comment>
    <comment ref="B335" authorId="0" shapeId="0" xr:uid="{00000000-0006-0000-0700-000012000000}">
      <text>
        <r>
          <rPr>
            <b/>
            <sz val="9"/>
            <color indexed="81"/>
            <rFont val="Tahoma"/>
            <family val="2"/>
          </rPr>
          <t>Author:</t>
        </r>
        <r>
          <rPr>
            <sz val="9"/>
            <color indexed="81"/>
            <rFont val="Tahoma"/>
            <family val="2"/>
          </rPr>
          <t xml:space="preserve">
NPV Values are normalized to the Baseline </t>
        </r>
      </text>
    </comment>
    <comment ref="A341" authorId="0" shapeId="0" xr:uid="{00000000-0006-0000-0700-000013000000}">
      <text>
        <r>
          <rPr>
            <b/>
            <sz val="9"/>
            <color indexed="81"/>
            <rFont val="Tahoma"/>
            <family val="2"/>
          </rPr>
          <t>Author:</t>
        </r>
        <r>
          <rPr>
            <sz val="9"/>
            <color indexed="81"/>
            <rFont val="Tahoma"/>
            <family val="2"/>
          </rPr>
          <t xml:space="preserve">
Value of Heating Fuel Deferred - Cost of Stove System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5" authorId="0" shapeId="0" xr:uid="{00000000-0006-0000-0800-000001000000}">
      <text>
        <r>
          <rPr>
            <b/>
            <sz val="9"/>
            <color indexed="81"/>
            <rFont val="Tahoma"/>
            <family val="2"/>
          </rPr>
          <t>Author:</t>
        </r>
        <r>
          <rPr>
            <sz val="9"/>
            <color indexed="81"/>
            <rFont val="Tahoma"/>
            <family val="2"/>
          </rPr>
          <t xml:space="preserve">
Already Included in Purchase Cost</t>
        </r>
      </text>
    </comment>
    <comment ref="A234" authorId="0" shapeId="0" xr:uid="{00000000-0006-0000-0800-000002000000}">
      <text>
        <r>
          <rPr>
            <b/>
            <sz val="9"/>
            <color indexed="81"/>
            <rFont val="Tahoma"/>
            <family val="2"/>
          </rPr>
          <t>Author:</t>
        </r>
        <r>
          <rPr>
            <sz val="9"/>
            <color indexed="81"/>
            <rFont val="Tahoma"/>
            <family val="2"/>
          </rPr>
          <t xml:space="preserve">
If the generator utilization is less than 30% then a new small generator is purchased
(This assumes that the O&amp;M costs for the generator set would not change as the O&amp;M cost for the new generator would offset some of the O&amp;M cost for the existing generator)</t>
        </r>
      </text>
    </comment>
    <comment ref="B334" authorId="0" shapeId="0" xr:uid="{00000000-0006-0000-0800-000003000000}">
      <text>
        <r>
          <rPr>
            <b/>
            <sz val="9"/>
            <color indexed="81"/>
            <rFont val="Tahoma"/>
            <family val="2"/>
          </rPr>
          <t>Author:</t>
        </r>
        <r>
          <rPr>
            <sz val="9"/>
            <color indexed="81"/>
            <rFont val="Tahoma"/>
            <family val="2"/>
          </rPr>
          <t xml:space="preserve">
NPV Values are normalized to the Baseline </t>
        </r>
      </text>
    </comment>
    <comment ref="C334" authorId="0" shapeId="0" xr:uid="{00000000-0006-0000-0800-000004000000}">
      <text>
        <r>
          <rPr>
            <b/>
            <sz val="9"/>
            <color indexed="81"/>
            <rFont val="Tahoma"/>
            <family val="2"/>
          </rPr>
          <t>Author:</t>
        </r>
        <r>
          <rPr>
            <sz val="9"/>
            <color indexed="81"/>
            <rFont val="Tahoma"/>
            <family val="2"/>
          </rPr>
          <t xml:space="preserve">
NPV Values are normalized to the Baseline </t>
        </r>
      </text>
    </comment>
    <comment ref="D334" authorId="0" shapeId="0" xr:uid="{00000000-0006-0000-0800-000005000000}">
      <text>
        <r>
          <rPr>
            <b/>
            <sz val="9"/>
            <color indexed="81"/>
            <rFont val="Tahoma"/>
            <family val="2"/>
          </rPr>
          <t>Author:</t>
        </r>
        <r>
          <rPr>
            <sz val="9"/>
            <color indexed="81"/>
            <rFont val="Tahoma"/>
            <family val="2"/>
          </rPr>
          <t xml:space="preserve">
NPV Values are normalized to the Baseline </t>
        </r>
      </text>
    </comment>
    <comment ref="E334" authorId="0" shapeId="0" xr:uid="{00000000-0006-0000-0800-000006000000}">
      <text>
        <r>
          <rPr>
            <b/>
            <sz val="9"/>
            <color indexed="81"/>
            <rFont val="Tahoma"/>
            <family val="2"/>
          </rPr>
          <t>Author:</t>
        </r>
        <r>
          <rPr>
            <sz val="9"/>
            <color indexed="81"/>
            <rFont val="Tahoma"/>
            <family val="2"/>
          </rPr>
          <t xml:space="preserve">
NPV Values are normalized to the Baseline </t>
        </r>
      </text>
    </comment>
    <comment ref="F334" authorId="0" shapeId="0" xr:uid="{00000000-0006-0000-0800-000007000000}">
      <text>
        <r>
          <rPr>
            <b/>
            <sz val="9"/>
            <color indexed="81"/>
            <rFont val="Tahoma"/>
            <family val="2"/>
          </rPr>
          <t>Author:</t>
        </r>
        <r>
          <rPr>
            <sz val="9"/>
            <color indexed="81"/>
            <rFont val="Tahoma"/>
            <family val="2"/>
          </rPr>
          <t xml:space="preserve">
NPV Values are normalized to the Baseline </t>
        </r>
      </text>
    </comment>
    <comment ref="G334" authorId="0" shapeId="0" xr:uid="{00000000-0006-0000-0800-000008000000}">
      <text>
        <r>
          <rPr>
            <b/>
            <sz val="9"/>
            <color indexed="81"/>
            <rFont val="Tahoma"/>
            <family val="2"/>
          </rPr>
          <t>Author:</t>
        </r>
        <r>
          <rPr>
            <sz val="9"/>
            <color indexed="81"/>
            <rFont val="Tahoma"/>
            <family val="2"/>
          </rPr>
          <t xml:space="preserve">
NPV Values are normalized to the Baseline </t>
        </r>
      </text>
    </comment>
    <comment ref="H334" authorId="0" shapeId="0" xr:uid="{00000000-0006-0000-0800-000009000000}">
      <text>
        <r>
          <rPr>
            <b/>
            <sz val="9"/>
            <color indexed="81"/>
            <rFont val="Tahoma"/>
            <family val="2"/>
          </rPr>
          <t>Author:</t>
        </r>
        <r>
          <rPr>
            <sz val="9"/>
            <color indexed="81"/>
            <rFont val="Tahoma"/>
            <family val="2"/>
          </rPr>
          <t xml:space="preserve">
NPV Values are normalized to the Baseline </t>
        </r>
      </text>
    </comment>
    <comment ref="I334" authorId="0" shapeId="0" xr:uid="{00000000-0006-0000-0800-00000A000000}">
      <text>
        <r>
          <rPr>
            <b/>
            <sz val="9"/>
            <color indexed="81"/>
            <rFont val="Tahoma"/>
            <family val="2"/>
          </rPr>
          <t>Author:</t>
        </r>
        <r>
          <rPr>
            <sz val="9"/>
            <color indexed="81"/>
            <rFont val="Tahoma"/>
            <family val="2"/>
          </rPr>
          <t xml:space="preserve">
NPV Values are normalized to the Baseline </t>
        </r>
      </text>
    </comment>
    <comment ref="J334" authorId="0" shapeId="0" xr:uid="{00000000-0006-0000-0800-00000B000000}">
      <text>
        <r>
          <rPr>
            <b/>
            <sz val="9"/>
            <color indexed="81"/>
            <rFont val="Tahoma"/>
            <family val="2"/>
          </rPr>
          <t>Author:</t>
        </r>
        <r>
          <rPr>
            <sz val="9"/>
            <color indexed="81"/>
            <rFont val="Tahoma"/>
            <family val="2"/>
          </rPr>
          <t xml:space="preserve">
NPV Values are normalized to the Baseline </t>
        </r>
      </text>
    </comment>
    <comment ref="K334" authorId="0" shapeId="0" xr:uid="{00000000-0006-0000-0800-00000C000000}">
      <text>
        <r>
          <rPr>
            <b/>
            <sz val="9"/>
            <color indexed="81"/>
            <rFont val="Tahoma"/>
            <family val="2"/>
          </rPr>
          <t>Author:</t>
        </r>
        <r>
          <rPr>
            <sz val="9"/>
            <color indexed="81"/>
            <rFont val="Tahoma"/>
            <family val="2"/>
          </rPr>
          <t xml:space="preserve">
NPV Values are normalized to the Baseline </t>
        </r>
      </text>
    </comment>
    <comment ref="L334" authorId="0" shapeId="0" xr:uid="{00000000-0006-0000-0800-00000D000000}">
      <text>
        <r>
          <rPr>
            <b/>
            <sz val="9"/>
            <color indexed="81"/>
            <rFont val="Tahoma"/>
            <family val="2"/>
          </rPr>
          <t>Author:</t>
        </r>
        <r>
          <rPr>
            <sz val="9"/>
            <color indexed="81"/>
            <rFont val="Tahoma"/>
            <family val="2"/>
          </rPr>
          <t xml:space="preserve">
NPV Values are normalized to the Baseline </t>
        </r>
      </text>
    </comment>
    <comment ref="M334" authorId="0" shapeId="0" xr:uid="{00000000-0006-0000-0800-00000E000000}">
      <text>
        <r>
          <rPr>
            <b/>
            <sz val="9"/>
            <color indexed="81"/>
            <rFont val="Tahoma"/>
            <family val="2"/>
          </rPr>
          <t>Author:</t>
        </r>
        <r>
          <rPr>
            <sz val="9"/>
            <color indexed="81"/>
            <rFont val="Tahoma"/>
            <family val="2"/>
          </rPr>
          <t xml:space="preserve">
NPV Values are normalized to the Baseline </t>
        </r>
      </text>
    </comment>
    <comment ref="N334" authorId="0" shapeId="0" xr:uid="{00000000-0006-0000-0800-00000F000000}">
      <text>
        <r>
          <rPr>
            <b/>
            <sz val="9"/>
            <color indexed="81"/>
            <rFont val="Tahoma"/>
            <family val="2"/>
          </rPr>
          <t>Author:</t>
        </r>
        <r>
          <rPr>
            <sz val="9"/>
            <color indexed="81"/>
            <rFont val="Tahoma"/>
            <family val="2"/>
          </rPr>
          <t xml:space="preserve">
NPV Values are normalized to the Baseline </t>
        </r>
      </text>
    </comment>
    <comment ref="O334" authorId="0" shapeId="0" xr:uid="{00000000-0006-0000-0800-000010000000}">
      <text>
        <r>
          <rPr>
            <b/>
            <sz val="9"/>
            <color indexed="81"/>
            <rFont val="Tahoma"/>
            <family val="2"/>
          </rPr>
          <t>Author:</t>
        </r>
        <r>
          <rPr>
            <sz val="9"/>
            <color indexed="81"/>
            <rFont val="Tahoma"/>
            <family val="2"/>
          </rPr>
          <t xml:space="preserve">
NPV Values are normalized to the Baseline </t>
        </r>
      </text>
    </comment>
    <comment ref="A335" authorId="0" shapeId="0" xr:uid="{00000000-0006-0000-0800-000011000000}">
      <text>
        <r>
          <rPr>
            <b/>
            <sz val="9"/>
            <color indexed="81"/>
            <rFont val="Tahoma"/>
            <family val="2"/>
          </rPr>
          <t>Author:</t>
        </r>
        <r>
          <rPr>
            <sz val="9"/>
            <color indexed="81"/>
            <rFont val="Tahoma"/>
            <family val="2"/>
          </rPr>
          <t xml:space="preserve">
Value of Heating Fuel Deferred - Cost of Stove System</t>
        </r>
      </text>
    </comment>
    <comment ref="B335" authorId="0" shapeId="0" xr:uid="{00000000-0006-0000-0800-000012000000}">
      <text>
        <r>
          <rPr>
            <b/>
            <sz val="9"/>
            <color indexed="81"/>
            <rFont val="Tahoma"/>
            <family val="2"/>
          </rPr>
          <t>Author:</t>
        </r>
        <r>
          <rPr>
            <sz val="9"/>
            <color indexed="81"/>
            <rFont val="Tahoma"/>
            <family val="2"/>
          </rPr>
          <t xml:space="preserve">
NPV Values are normalized to the Baseline </t>
        </r>
      </text>
    </comment>
    <comment ref="A341" authorId="0" shapeId="0" xr:uid="{00000000-0006-0000-0800-000013000000}">
      <text>
        <r>
          <rPr>
            <b/>
            <sz val="9"/>
            <color indexed="81"/>
            <rFont val="Tahoma"/>
            <family val="2"/>
          </rPr>
          <t>Author:</t>
        </r>
        <r>
          <rPr>
            <sz val="9"/>
            <color indexed="81"/>
            <rFont val="Tahoma"/>
            <family val="2"/>
          </rPr>
          <t xml:space="preserve">
Value of Heating Fuel Deferred - Cost of Stove System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5" authorId="0" shapeId="0" xr:uid="{00000000-0006-0000-0900-000001000000}">
      <text>
        <r>
          <rPr>
            <b/>
            <sz val="9"/>
            <color indexed="81"/>
            <rFont val="Tahoma"/>
            <family val="2"/>
          </rPr>
          <t>Author:</t>
        </r>
        <r>
          <rPr>
            <sz val="9"/>
            <color indexed="81"/>
            <rFont val="Tahoma"/>
            <family val="2"/>
          </rPr>
          <t xml:space="preserve">
Already Included in Purchase Cost</t>
        </r>
      </text>
    </comment>
    <comment ref="A234" authorId="0" shapeId="0" xr:uid="{00000000-0006-0000-0900-000002000000}">
      <text>
        <r>
          <rPr>
            <b/>
            <sz val="9"/>
            <color indexed="81"/>
            <rFont val="Tahoma"/>
            <family val="2"/>
          </rPr>
          <t>Author:</t>
        </r>
        <r>
          <rPr>
            <sz val="9"/>
            <color indexed="81"/>
            <rFont val="Tahoma"/>
            <family val="2"/>
          </rPr>
          <t xml:space="preserve">
If the generator utilization is less than 30% then a new small generator is purchased
(This assumes that the O&amp;M costs for the generator set would not change as the O&amp;M cost for the new generator would offset some of the O&amp;M cost for the existing generator)</t>
        </r>
      </text>
    </comment>
    <comment ref="B334" authorId="0" shapeId="0" xr:uid="{00000000-0006-0000-0900-000003000000}">
      <text>
        <r>
          <rPr>
            <b/>
            <sz val="9"/>
            <color indexed="81"/>
            <rFont val="Tahoma"/>
            <family val="2"/>
          </rPr>
          <t>Author:</t>
        </r>
        <r>
          <rPr>
            <sz val="9"/>
            <color indexed="81"/>
            <rFont val="Tahoma"/>
            <family val="2"/>
          </rPr>
          <t xml:space="preserve">
NPV Values are normalized to the Baseline </t>
        </r>
      </text>
    </comment>
    <comment ref="C334" authorId="0" shapeId="0" xr:uid="{00000000-0006-0000-0900-000004000000}">
      <text>
        <r>
          <rPr>
            <b/>
            <sz val="9"/>
            <color indexed="81"/>
            <rFont val="Tahoma"/>
            <family val="2"/>
          </rPr>
          <t>Author:</t>
        </r>
        <r>
          <rPr>
            <sz val="9"/>
            <color indexed="81"/>
            <rFont val="Tahoma"/>
            <family val="2"/>
          </rPr>
          <t xml:space="preserve">
NPV Values are normalized to the Baseline </t>
        </r>
      </text>
    </comment>
    <comment ref="D334" authorId="0" shapeId="0" xr:uid="{00000000-0006-0000-0900-000005000000}">
      <text>
        <r>
          <rPr>
            <b/>
            <sz val="9"/>
            <color indexed="81"/>
            <rFont val="Tahoma"/>
            <family val="2"/>
          </rPr>
          <t>Author:</t>
        </r>
        <r>
          <rPr>
            <sz val="9"/>
            <color indexed="81"/>
            <rFont val="Tahoma"/>
            <family val="2"/>
          </rPr>
          <t xml:space="preserve">
NPV Values are normalized to the Baseline </t>
        </r>
      </text>
    </comment>
    <comment ref="E334" authorId="0" shapeId="0" xr:uid="{00000000-0006-0000-0900-000006000000}">
      <text>
        <r>
          <rPr>
            <b/>
            <sz val="9"/>
            <color indexed="81"/>
            <rFont val="Tahoma"/>
            <family val="2"/>
          </rPr>
          <t>Author:</t>
        </r>
        <r>
          <rPr>
            <sz val="9"/>
            <color indexed="81"/>
            <rFont val="Tahoma"/>
            <family val="2"/>
          </rPr>
          <t xml:space="preserve">
NPV Values are normalized to the Baseline </t>
        </r>
      </text>
    </comment>
    <comment ref="F334" authorId="0" shapeId="0" xr:uid="{00000000-0006-0000-0900-000007000000}">
      <text>
        <r>
          <rPr>
            <b/>
            <sz val="9"/>
            <color indexed="81"/>
            <rFont val="Tahoma"/>
            <family val="2"/>
          </rPr>
          <t>Author:</t>
        </r>
        <r>
          <rPr>
            <sz val="9"/>
            <color indexed="81"/>
            <rFont val="Tahoma"/>
            <family val="2"/>
          </rPr>
          <t xml:space="preserve">
NPV Values are normalized to the Baseline </t>
        </r>
      </text>
    </comment>
    <comment ref="G334" authorId="0" shapeId="0" xr:uid="{00000000-0006-0000-0900-000008000000}">
      <text>
        <r>
          <rPr>
            <b/>
            <sz val="9"/>
            <color indexed="81"/>
            <rFont val="Tahoma"/>
            <family val="2"/>
          </rPr>
          <t>Author:</t>
        </r>
        <r>
          <rPr>
            <sz val="9"/>
            <color indexed="81"/>
            <rFont val="Tahoma"/>
            <family val="2"/>
          </rPr>
          <t xml:space="preserve">
NPV Values are normalized to the Baseline </t>
        </r>
      </text>
    </comment>
    <comment ref="H334" authorId="0" shapeId="0" xr:uid="{00000000-0006-0000-0900-000009000000}">
      <text>
        <r>
          <rPr>
            <b/>
            <sz val="9"/>
            <color indexed="81"/>
            <rFont val="Tahoma"/>
            <family val="2"/>
          </rPr>
          <t>Author:</t>
        </r>
        <r>
          <rPr>
            <sz val="9"/>
            <color indexed="81"/>
            <rFont val="Tahoma"/>
            <family val="2"/>
          </rPr>
          <t xml:space="preserve">
NPV Values are normalized to the Baseline </t>
        </r>
      </text>
    </comment>
    <comment ref="I334" authorId="0" shapeId="0" xr:uid="{00000000-0006-0000-0900-00000A000000}">
      <text>
        <r>
          <rPr>
            <b/>
            <sz val="9"/>
            <color indexed="81"/>
            <rFont val="Tahoma"/>
            <family val="2"/>
          </rPr>
          <t>Author:</t>
        </r>
        <r>
          <rPr>
            <sz val="9"/>
            <color indexed="81"/>
            <rFont val="Tahoma"/>
            <family val="2"/>
          </rPr>
          <t xml:space="preserve">
NPV Values are normalized to the Baseline </t>
        </r>
      </text>
    </comment>
    <comment ref="J334" authorId="0" shapeId="0" xr:uid="{00000000-0006-0000-0900-00000B000000}">
      <text>
        <r>
          <rPr>
            <b/>
            <sz val="9"/>
            <color indexed="81"/>
            <rFont val="Tahoma"/>
            <family val="2"/>
          </rPr>
          <t>Author:</t>
        </r>
        <r>
          <rPr>
            <sz val="9"/>
            <color indexed="81"/>
            <rFont val="Tahoma"/>
            <family val="2"/>
          </rPr>
          <t xml:space="preserve">
NPV Values are normalized to the Baseline </t>
        </r>
      </text>
    </comment>
    <comment ref="K334" authorId="0" shapeId="0" xr:uid="{00000000-0006-0000-0900-00000C000000}">
      <text>
        <r>
          <rPr>
            <b/>
            <sz val="9"/>
            <color indexed="81"/>
            <rFont val="Tahoma"/>
            <family val="2"/>
          </rPr>
          <t>Author:</t>
        </r>
        <r>
          <rPr>
            <sz val="9"/>
            <color indexed="81"/>
            <rFont val="Tahoma"/>
            <family val="2"/>
          </rPr>
          <t xml:space="preserve">
NPV Values are normalized to the Baseline </t>
        </r>
      </text>
    </comment>
    <comment ref="L334" authorId="0" shapeId="0" xr:uid="{00000000-0006-0000-0900-00000D000000}">
      <text>
        <r>
          <rPr>
            <b/>
            <sz val="9"/>
            <color indexed="81"/>
            <rFont val="Tahoma"/>
            <family val="2"/>
          </rPr>
          <t>Author:</t>
        </r>
        <r>
          <rPr>
            <sz val="9"/>
            <color indexed="81"/>
            <rFont val="Tahoma"/>
            <family val="2"/>
          </rPr>
          <t xml:space="preserve">
NPV Values are normalized to the Baseline </t>
        </r>
      </text>
    </comment>
    <comment ref="M334" authorId="0" shapeId="0" xr:uid="{00000000-0006-0000-0900-00000E000000}">
      <text>
        <r>
          <rPr>
            <b/>
            <sz val="9"/>
            <color indexed="81"/>
            <rFont val="Tahoma"/>
            <family val="2"/>
          </rPr>
          <t>Author:</t>
        </r>
        <r>
          <rPr>
            <sz val="9"/>
            <color indexed="81"/>
            <rFont val="Tahoma"/>
            <family val="2"/>
          </rPr>
          <t xml:space="preserve">
NPV Values are normalized to the Baseline </t>
        </r>
      </text>
    </comment>
    <comment ref="N334" authorId="0" shapeId="0" xr:uid="{00000000-0006-0000-0900-00000F000000}">
      <text>
        <r>
          <rPr>
            <b/>
            <sz val="9"/>
            <color indexed="81"/>
            <rFont val="Tahoma"/>
            <family val="2"/>
          </rPr>
          <t>Author:</t>
        </r>
        <r>
          <rPr>
            <sz val="9"/>
            <color indexed="81"/>
            <rFont val="Tahoma"/>
            <family val="2"/>
          </rPr>
          <t xml:space="preserve">
NPV Values are normalized to the Baseline </t>
        </r>
      </text>
    </comment>
    <comment ref="O334" authorId="0" shapeId="0" xr:uid="{00000000-0006-0000-0900-000010000000}">
      <text>
        <r>
          <rPr>
            <b/>
            <sz val="9"/>
            <color indexed="81"/>
            <rFont val="Tahoma"/>
            <family val="2"/>
          </rPr>
          <t>Author:</t>
        </r>
        <r>
          <rPr>
            <sz val="9"/>
            <color indexed="81"/>
            <rFont val="Tahoma"/>
            <family val="2"/>
          </rPr>
          <t xml:space="preserve">
NPV Values are normalized to the Baseline </t>
        </r>
      </text>
    </comment>
    <comment ref="P334" authorId="0" shapeId="0" xr:uid="{00000000-0006-0000-0900-000011000000}">
      <text>
        <r>
          <rPr>
            <b/>
            <sz val="9"/>
            <color indexed="81"/>
            <rFont val="Tahoma"/>
            <family val="2"/>
          </rPr>
          <t>Author:</t>
        </r>
        <r>
          <rPr>
            <sz val="9"/>
            <color indexed="81"/>
            <rFont val="Tahoma"/>
            <family val="2"/>
          </rPr>
          <t xml:space="preserve">
NPV Values are normalized to the Baseline </t>
        </r>
      </text>
    </comment>
    <comment ref="Q334" authorId="0" shapeId="0" xr:uid="{00000000-0006-0000-0900-000012000000}">
      <text>
        <r>
          <rPr>
            <b/>
            <sz val="9"/>
            <color indexed="81"/>
            <rFont val="Tahoma"/>
            <family val="2"/>
          </rPr>
          <t>Author:</t>
        </r>
        <r>
          <rPr>
            <sz val="9"/>
            <color indexed="81"/>
            <rFont val="Tahoma"/>
            <family val="2"/>
          </rPr>
          <t xml:space="preserve">
NPV Values are normalized to the Baseline </t>
        </r>
      </text>
    </comment>
    <comment ref="R334" authorId="0" shapeId="0" xr:uid="{00000000-0006-0000-0900-000013000000}">
      <text>
        <r>
          <rPr>
            <b/>
            <sz val="9"/>
            <color indexed="81"/>
            <rFont val="Tahoma"/>
            <family val="2"/>
          </rPr>
          <t>Author:</t>
        </r>
        <r>
          <rPr>
            <sz val="9"/>
            <color indexed="81"/>
            <rFont val="Tahoma"/>
            <family val="2"/>
          </rPr>
          <t xml:space="preserve">
NPV Values are normalized to the Baseline </t>
        </r>
      </text>
    </comment>
    <comment ref="S334" authorId="0" shapeId="0" xr:uid="{00000000-0006-0000-0900-000014000000}">
      <text>
        <r>
          <rPr>
            <b/>
            <sz val="9"/>
            <color indexed="81"/>
            <rFont val="Tahoma"/>
            <family val="2"/>
          </rPr>
          <t>Author:</t>
        </r>
        <r>
          <rPr>
            <sz val="9"/>
            <color indexed="81"/>
            <rFont val="Tahoma"/>
            <family val="2"/>
          </rPr>
          <t xml:space="preserve">
NPV Values are normalized to the Baseline </t>
        </r>
      </text>
    </comment>
    <comment ref="A335" authorId="0" shapeId="0" xr:uid="{00000000-0006-0000-0900-000015000000}">
      <text>
        <r>
          <rPr>
            <b/>
            <sz val="9"/>
            <color indexed="81"/>
            <rFont val="Tahoma"/>
            <family val="2"/>
          </rPr>
          <t>Author:</t>
        </r>
        <r>
          <rPr>
            <sz val="9"/>
            <color indexed="81"/>
            <rFont val="Tahoma"/>
            <family val="2"/>
          </rPr>
          <t xml:space="preserve">
Value of Heating Fuel Deferred - Cost of Stove System</t>
        </r>
      </text>
    </comment>
    <comment ref="B335" authorId="0" shapeId="0" xr:uid="{00000000-0006-0000-0900-000016000000}">
      <text>
        <r>
          <rPr>
            <b/>
            <sz val="9"/>
            <color indexed="81"/>
            <rFont val="Tahoma"/>
            <family val="2"/>
          </rPr>
          <t>Author:</t>
        </r>
        <r>
          <rPr>
            <sz val="9"/>
            <color indexed="81"/>
            <rFont val="Tahoma"/>
            <family val="2"/>
          </rPr>
          <t xml:space="preserve">
NPV Values are normalized to the Baseline </t>
        </r>
      </text>
    </comment>
    <comment ref="A341" authorId="0" shapeId="0" xr:uid="{00000000-0006-0000-0900-000017000000}">
      <text>
        <r>
          <rPr>
            <b/>
            <sz val="9"/>
            <color indexed="81"/>
            <rFont val="Tahoma"/>
            <family val="2"/>
          </rPr>
          <t>Author:</t>
        </r>
        <r>
          <rPr>
            <sz val="9"/>
            <color indexed="81"/>
            <rFont val="Tahoma"/>
            <family val="2"/>
          </rPr>
          <t xml:space="preserve">
Value of Heating Fuel Deferred - Cost of Stove System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5" authorId="0" shapeId="0" xr:uid="{00000000-0006-0000-0A00-000001000000}">
      <text>
        <r>
          <rPr>
            <b/>
            <sz val="9"/>
            <color indexed="81"/>
            <rFont val="Tahoma"/>
            <family val="2"/>
          </rPr>
          <t>Author:</t>
        </r>
        <r>
          <rPr>
            <sz val="9"/>
            <color indexed="81"/>
            <rFont val="Tahoma"/>
            <family val="2"/>
          </rPr>
          <t xml:space="preserve">
Already Included in Purchase Cost</t>
        </r>
      </text>
    </comment>
    <comment ref="A234" authorId="0" shapeId="0" xr:uid="{00000000-0006-0000-0A00-000002000000}">
      <text>
        <r>
          <rPr>
            <b/>
            <sz val="9"/>
            <color indexed="81"/>
            <rFont val="Tahoma"/>
            <family val="2"/>
          </rPr>
          <t>Author:</t>
        </r>
        <r>
          <rPr>
            <sz val="9"/>
            <color indexed="81"/>
            <rFont val="Tahoma"/>
            <family val="2"/>
          </rPr>
          <t xml:space="preserve">
If the generator utilization is less than 30% then a new small generator is purchased
(This assumes that the O&amp;M costs for the generator set would not change as the O&amp;M cost for the new generator would offset some of the O&amp;M cost for the existing generator)</t>
        </r>
      </text>
    </comment>
    <comment ref="B334" authorId="0" shapeId="0" xr:uid="{00000000-0006-0000-0A00-000003000000}">
      <text>
        <r>
          <rPr>
            <b/>
            <sz val="9"/>
            <color indexed="81"/>
            <rFont val="Tahoma"/>
            <family val="2"/>
          </rPr>
          <t>Author:</t>
        </r>
        <r>
          <rPr>
            <sz val="9"/>
            <color indexed="81"/>
            <rFont val="Tahoma"/>
            <family val="2"/>
          </rPr>
          <t xml:space="preserve">
NPV Values are normalized to the Baseline </t>
        </r>
      </text>
    </comment>
    <comment ref="C334" authorId="0" shapeId="0" xr:uid="{00000000-0006-0000-0A00-000004000000}">
      <text>
        <r>
          <rPr>
            <b/>
            <sz val="9"/>
            <color indexed="81"/>
            <rFont val="Tahoma"/>
            <family val="2"/>
          </rPr>
          <t>Author:</t>
        </r>
        <r>
          <rPr>
            <sz val="9"/>
            <color indexed="81"/>
            <rFont val="Tahoma"/>
            <family val="2"/>
          </rPr>
          <t xml:space="preserve">
NPV Values are normalized to the Baseline </t>
        </r>
      </text>
    </comment>
    <comment ref="D334" authorId="0" shapeId="0" xr:uid="{00000000-0006-0000-0A00-000005000000}">
      <text>
        <r>
          <rPr>
            <b/>
            <sz val="9"/>
            <color indexed="81"/>
            <rFont val="Tahoma"/>
            <family val="2"/>
          </rPr>
          <t>Author:</t>
        </r>
        <r>
          <rPr>
            <sz val="9"/>
            <color indexed="81"/>
            <rFont val="Tahoma"/>
            <family val="2"/>
          </rPr>
          <t xml:space="preserve">
NPV Values are normalized to the Baseline </t>
        </r>
      </text>
    </comment>
    <comment ref="E334" authorId="0" shapeId="0" xr:uid="{00000000-0006-0000-0A00-000006000000}">
      <text>
        <r>
          <rPr>
            <b/>
            <sz val="9"/>
            <color indexed="81"/>
            <rFont val="Tahoma"/>
            <family val="2"/>
          </rPr>
          <t>Author:</t>
        </r>
        <r>
          <rPr>
            <sz val="9"/>
            <color indexed="81"/>
            <rFont val="Tahoma"/>
            <family val="2"/>
          </rPr>
          <t xml:space="preserve">
NPV Values are normalized to the Baseline </t>
        </r>
      </text>
    </comment>
    <comment ref="F334" authorId="0" shapeId="0" xr:uid="{00000000-0006-0000-0A00-000007000000}">
      <text>
        <r>
          <rPr>
            <b/>
            <sz val="9"/>
            <color indexed="81"/>
            <rFont val="Tahoma"/>
            <family val="2"/>
          </rPr>
          <t>Author:</t>
        </r>
        <r>
          <rPr>
            <sz val="9"/>
            <color indexed="81"/>
            <rFont val="Tahoma"/>
            <family val="2"/>
          </rPr>
          <t xml:space="preserve">
NPV Values are normalized to the Baseline </t>
        </r>
      </text>
    </comment>
    <comment ref="G334" authorId="0" shapeId="0" xr:uid="{00000000-0006-0000-0A00-000008000000}">
      <text>
        <r>
          <rPr>
            <b/>
            <sz val="9"/>
            <color indexed="81"/>
            <rFont val="Tahoma"/>
            <family val="2"/>
          </rPr>
          <t>Author:</t>
        </r>
        <r>
          <rPr>
            <sz val="9"/>
            <color indexed="81"/>
            <rFont val="Tahoma"/>
            <family val="2"/>
          </rPr>
          <t xml:space="preserve">
NPV Values are normalized to the Baseline </t>
        </r>
      </text>
    </comment>
    <comment ref="H334" authorId="0" shapeId="0" xr:uid="{00000000-0006-0000-0A00-000009000000}">
      <text>
        <r>
          <rPr>
            <b/>
            <sz val="9"/>
            <color indexed="81"/>
            <rFont val="Tahoma"/>
            <family val="2"/>
          </rPr>
          <t>Author:</t>
        </r>
        <r>
          <rPr>
            <sz val="9"/>
            <color indexed="81"/>
            <rFont val="Tahoma"/>
            <family val="2"/>
          </rPr>
          <t xml:space="preserve">
NPV Values are normalized to the Baseline </t>
        </r>
      </text>
    </comment>
    <comment ref="I334" authorId="0" shapeId="0" xr:uid="{00000000-0006-0000-0A00-00000A000000}">
      <text>
        <r>
          <rPr>
            <b/>
            <sz val="9"/>
            <color indexed="81"/>
            <rFont val="Tahoma"/>
            <family val="2"/>
          </rPr>
          <t>Author:</t>
        </r>
        <r>
          <rPr>
            <sz val="9"/>
            <color indexed="81"/>
            <rFont val="Tahoma"/>
            <family val="2"/>
          </rPr>
          <t xml:space="preserve">
NPV Values are normalized to the Baseline </t>
        </r>
      </text>
    </comment>
    <comment ref="J334" authorId="0" shapeId="0" xr:uid="{00000000-0006-0000-0A00-00000B000000}">
      <text>
        <r>
          <rPr>
            <b/>
            <sz val="9"/>
            <color indexed="81"/>
            <rFont val="Tahoma"/>
            <family val="2"/>
          </rPr>
          <t>Author:</t>
        </r>
        <r>
          <rPr>
            <sz val="9"/>
            <color indexed="81"/>
            <rFont val="Tahoma"/>
            <family val="2"/>
          </rPr>
          <t xml:space="preserve">
NPV Values are normalized to the Baseline </t>
        </r>
      </text>
    </comment>
    <comment ref="K334" authorId="0" shapeId="0" xr:uid="{00000000-0006-0000-0A00-00000C000000}">
      <text>
        <r>
          <rPr>
            <b/>
            <sz val="9"/>
            <color indexed="81"/>
            <rFont val="Tahoma"/>
            <family val="2"/>
          </rPr>
          <t>Author:</t>
        </r>
        <r>
          <rPr>
            <sz val="9"/>
            <color indexed="81"/>
            <rFont val="Tahoma"/>
            <family val="2"/>
          </rPr>
          <t xml:space="preserve">
NPV Values are normalized to the Baseline </t>
        </r>
      </text>
    </comment>
    <comment ref="L334" authorId="0" shapeId="0" xr:uid="{00000000-0006-0000-0A00-00000D000000}">
      <text>
        <r>
          <rPr>
            <b/>
            <sz val="9"/>
            <color indexed="81"/>
            <rFont val="Tahoma"/>
            <family val="2"/>
          </rPr>
          <t>Author:</t>
        </r>
        <r>
          <rPr>
            <sz val="9"/>
            <color indexed="81"/>
            <rFont val="Tahoma"/>
            <family val="2"/>
          </rPr>
          <t xml:space="preserve">
NPV Values are normalized to the Baseline </t>
        </r>
      </text>
    </comment>
    <comment ref="M334" authorId="0" shapeId="0" xr:uid="{00000000-0006-0000-0A00-00000E000000}">
      <text>
        <r>
          <rPr>
            <b/>
            <sz val="9"/>
            <color indexed="81"/>
            <rFont val="Tahoma"/>
            <family val="2"/>
          </rPr>
          <t>Author:</t>
        </r>
        <r>
          <rPr>
            <sz val="9"/>
            <color indexed="81"/>
            <rFont val="Tahoma"/>
            <family val="2"/>
          </rPr>
          <t xml:space="preserve">
NPV Values are normalized to the Baseline </t>
        </r>
      </text>
    </comment>
    <comment ref="N334" authorId="0" shapeId="0" xr:uid="{00000000-0006-0000-0A00-00000F000000}">
      <text>
        <r>
          <rPr>
            <b/>
            <sz val="9"/>
            <color indexed="81"/>
            <rFont val="Tahoma"/>
            <family val="2"/>
          </rPr>
          <t>Author:</t>
        </r>
        <r>
          <rPr>
            <sz val="9"/>
            <color indexed="81"/>
            <rFont val="Tahoma"/>
            <family val="2"/>
          </rPr>
          <t xml:space="preserve">
NPV Values are normalized to the Baseline </t>
        </r>
      </text>
    </comment>
    <comment ref="O334" authorId="0" shapeId="0" xr:uid="{00000000-0006-0000-0A00-000010000000}">
      <text>
        <r>
          <rPr>
            <b/>
            <sz val="9"/>
            <color indexed="81"/>
            <rFont val="Tahoma"/>
            <family val="2"/>
          </rPr>
          <t>Author:</t>
        </r>
        <r>
          <rPr>
            <sz val="9"/>
            <color indexed="81"/>
            <rFont val="Tahoma"/>
            <family val="2"/>
          </rPr>
          <t xml:space="preserve">
NPV Values are normalized to the Baseline </t>
        </r>
      </text>
    </comment>
    <comment ref="P334" authorId="0" shapeId="0" xr:uid="{00000000-0006-0000-0A00-000011000000}">
      <text>
        <r>
          <rPr>
            <b/>
            <sz val="9"/>
            <color indexed="81"/>
            <rFont val="Tahoma"/>
            <family val="2"/>
          </rPr>
          <t>Author:</t>
        </r>
        <r>
          <rPr>
            <sz val="9"/>
            <color indexed="81"/>
            <rFont val="Tahoma"/>
            <family val="2"/>
          </rPr>
          <t xml:space="preserve">
NPV Values are normalized to the Baseline </t>
        </r>
      </text>
    </comment>
    <comment ref="A335" authorId="0" shapeId="0" xr:uid="{00000000-0006-0000-0A00-000012000000}">
      <text>
        <r>
          <rPr>
            <b/>
            <sz val="9"/>
            <color indexed="81"/>
            <rFont val="Tahoma"/>
            <family val="2"/>
          </rPr>
          <t>Author:</t>
        </r>
        <r>
          <rPr>
            <sz val="9"/>
            <color indexed="81"/>
            <rFont val="Tahoma"/>
            <family val="2"/>
          </rPr>
          <t xml:space="preserve">
Value of Heating Fuel Deferred - Cost of Stove System</t>
        </r>
      </text>
    </comment>
    <comment ref="B335" authorId="0" shapeId="0" xr:uid="{00000000-0006-0000-0A00-000013000000}">
      <text>
        <r>
          <rPr>
            <b/>
            <sz val="9"/>
            <color indexed="81"/>
            <rFont val="Tahoma"/>
            <family val="2"/>
          </rPr>
          <t>Author:</t>
        </r>
        <r>
          <rPr>
            <sz val="9"/>
            <color indexed="81"/>
            <rFont val="Tahoma"/>
            <family val="2"/>
          </rPr>
          <t xml:space="preserve">
NPV Values are normalized to the Baseline </t>
        </r>
      </text>
    </comment>
    <comment ref="A341" authorId="0" shapeId="0" xr:uid="{00000000-0006-0000-0A00-000014000000}">
      <text>
        <r>
          <rPr>
            <b/>
            <sz val="9"/>
            <color indexed="81"/>
            <rFont val="Tahoma"/>
            <family val="2"/>
          </rPr>
          <t>Author:</t>
        </r>
        <r>
          <rPr>
            <sz val="9"/>
            <color indexed="81"/>
            <rFont val="Tahoma"/>
            <family val="2"/>
          </rPr>
          <t xml:space="preserve">
Value of Heating Fuel Deferred - Cost of Stove System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5" authorId="0" shapeId="0" xr:uid="{00000000-0006-0000-0B00-000001000000}">
      <text>
        <r>
          <rPr>
            <b/>
            <sz val="9"/>
            <color indexed="81"/>
            <rFont val="Tahoma"/>
            <family val="2"/>
          </rPr>
          <t>Author:</t>
        </r>
        <r>
          <rPr>
            <sz val="9"/>
            <color indexed="81"/>
            <rFont val="Tahoma"/>
            <family val="2"/>
          </rPr>
          <t xml:space="preserve">
Already Included in Purchase Cost</t>
        </r>
      </text>
    </comment>
    <comment ref="A234" authorId="0" shapeId="0" xr:uid="{00000000-0006-0000-0B00-000002000000}">
      <text>
        <r>
          <rPr>
            <b/>
            <sz val="9"/>
            <color indexed="81"/>
            <rFont val="Tahoma"/>
            <family val="2"/>
          </rPr>
          <t>Author:</t>
        </r>
        <r>
          <rPr>
            <sz val="9"/>
            <color indexed="81"/>
            <rFont val="Tahoma"/>
            <family val="2"/>
          </rPr>
          <t xml:space="preserve">
If the generator utilization is less than 30% then a new small generator is purchased
(This assumes that the O&amp;M costs for the generator set would not change as the O&amp;M cost for the new generator would offset some of the O&amp;M cost for the existing generator)</t>
        </r>
      </text>
    </comment>
    <comment ref="B334" authorId="0" shapeId="0" xr:uid="{00000000-0006-0000-0B00-000003000000}">
      <text>
        <r>
          <rPr>
            <b/>
            <sz val="9"/>
            <color indexed="81"/>
            <rFont val="Tahoma"/>
            <family val="2"/>
          </rPr>
          <t>Author:</t>
        </r>
        <r>
          <rPr>
            <sz val="9"/>
            <color indexed="81"/>
            <rFont val="Tahoma"/>
            <family val="2"/>
          </rPr>
          <t xml:space="preserve">
NPV Values are normalized to the Baseline </t>
        </r>
      </text>
    </comment>
    <comment ref="C334" authorId="0" shapeId="0" xr:uid="{00000000-0006-0000-0B00-000004000000}">
      <text>
        <r>
          <rPr>
            <b/>
            <sz val="9"/>
            <color indexed="81"/>
            <rFont val="Tahoma"/>
            <family val="2"/>
          </rPr>
          <t>Author:</t>
        </r>
        <r>
          <rPr>
            <sz val="9"/>
            <color indexed="81"/>
            <rFont val="Tahoma"/>
            <family val="2"/>
          </rPr>
          <t xml:space="preserve">
NPV Values are normalized to the Baseline </t>
        </r>
      </text>
    </comment>
    <comment ref="D334" authorId="0" shapeId="0" xr:uid="{00000000-0006-0000-0B00-000005000000}">
      <text>
        <r>
          <rPr>
            <b/>
            <sz val="9"/>
            <color indexed="81"/>
            <rFont val="Tahoma"/>
            <family val="2"/>
          </rPr>
          <t>Author:</t>
        </r>
        <r>
          <rPr>
            <sz val="9"/>
            <color indexed="81"/>
            <rFont val="Tahoma"/>
            <family val="2"/>
          </rPr>
          <t xml:space="preserve">
NPV Values are normalized to the Baseline </t>
        </r>
      </text>
    </comment>
    <comment ref="E334" authorId="0" shapeId="0" xr:uid="{00000000-0006-0000-0B00-000006000000}">
      <text>
        <r>
          <rPr>
            <b/>
            <sz val="9"/>
            <color indexed="81"/>
            <rFont val="Tahoma"/>
            <family val="2"/>
          </rPr>
          <t>Author:</t>
        </r>
        <r>
          <rPr>
            <sz val="9"/>
            <color indexed="81"/>
            <rFont val="Tahoma"/>
            <family val="2"/>
          </rPr>
          <t xml:space="preserve">
NPV Values are normalized to the Baseline </t>
        </r>
      </text>
    </comment>
    <comment ref="F334" authorId="0" shapeId="0" xr:uid="{00000000-0006-0000-0B00-000007000000}">
      <text>
        <r>
          <rPr>
            <b/>
            <sz val="9"/>
            <color indexed="81"/>
            <rFont val="Tahoma"/>
            <family val="2"/>
          </rPr>
          <t>Author:</t>
        </r>
        <r>
          <rPr>
            <sz val="9"/>
            <color indexed="81"/>
            <rFont val="Tahoma"/>
            <family val="2"/>
          </rPr>
          <t xml:space="preserve">
NPV Values are normalized to the Baseline </t>
        </r>
      </text>
    </comment>
    <comment ref="G334" authorId="0" shapeId="0" xr:uid="{00000000-0006-0000-0B00-000008000000}">
      <text>
        <r>
          <rPr>
            <b/>
            <sz val="9"/>
            <color indexed="81"/>
            <rFont val="Tahoma"/>
            <family val="2"/>
          </rPr>
          <t>Author:</t>
        </r>
        <r>
          <rPr>
            <sz val="9"/>
            <color indexed="81"/>
            <rFont val="Tahoma"/>
            <family val="2"/>
          </rPr>
          <t xml:space="preserve">
NPV Values are normalized to the Baseline </t>
        </r>
      </text>
    </comment>
    <comment ref="H334" authorId="0" shapeId="0" xr:uid="{00000000-0006-0000-0B00-000009000000}">
      <text>
        <r>
          <rPr>
            <b/>
            <sz val="9"/>
            <color indexed="81"/>
            <rFont val="Tahoma"/>
            <family val="2"/>
          </rPr>
          <t>Author:</t>
        </r>
        <r>
          <rPr>
            <sz val="9"/>
            <color indexed="81"/>
            <rFont val="Tahoma"/>
            <family val="2"/>
          </rPr>
          <t xml:space="preserve">
NPV Values are normalized to the Baseline </t>
        </r>
      </text>
    </comment>
    <comment ref="I334" authorId="0" shapeId="0" xr:uid="{00000000-0006-0000-0B00-00000A000000}">
      <text>
        <r>
          <rPr>
            <b/>
            <sz val="9"/>
            <color indexed="81"/>
            <rFont val="Tahoma"/>
            <family val="2"/>
          </rPr>
          <t>Author:</t>
        </r>
        <r>
          <rPr>
            <sz val="9"/>
            <color indexed="81"/>
            <rFont val="Tahoma"/>
            <family val="2"/>
          </rPr>
          <t xml:space="preserve">
NPV Values are normalized to the Baseline </t>
        </r>
      </text>
    </comment>
    <comment ref="J334" authorId="0" shapeId="0" xr:uid="{00000000-0006-0000-0B00-00000B000000}">
      <text>
        <r>
          <rPr>
            <b/>
            <sz val="9"/>
            <color indexed="81"/>
            <rFont val="Tahoma"/>
            <family val="2"/>
          </rPr>
          <t>Author:</t>
        </r>
        <r>
          <rPr>
            <sz val="9"/>
            <color indexed="81"/>
            <rFont val="Tahoma"/>
            <family val="2"/>
          </rPr>
          <t xml:space="preserve">
NPV Values are normalized to the Baseline </t>
        </r>
      </text>
    </comment>
    <comment ref="K334" authorId="0" shapeId="0" xr:uid="{00000000-0006-0000-0B00-00000C000000}">
      <text>
        <r>
          <rPr>
            <b/>
            <sz val="9"/>
            <color indexed="81"/>
            <rFont val="Tahoma"/>
            <family val="2"/>
          </rPr>
          <t>Author:</t>
        </r>
        <r>
          <rPr>
            <sz val="9"/>
            <color indexed="81"/>
            <rFont val="Tahoma"/>
            <family val="2"/>
          </rPr>
          <t xml:space="preserve">
NPV Values are normalized to the Baseline </t>
        </r>
      </text>
    </comment>
    <comment ref="L334" authorId="0" shapeId="0" xr:uid="{00000000-0006-0000-0B00-00000D000000}">
      <text>
        <r>
          <rPr>
            <b/>
            <sz val="9"/>
            <color indexed="81"/>
            <rFont val="Tahoma"/>
            <family val="2"/>
          </rPr>
          <t>Author:</t>
        </r>
        <r>
          <rPr>
            <sz val="9"/>
            <color indexed="81"/>
            <rFont val="Tahoma"/>
            <family val="2"/>
          </rPr>
          <t xml:space="preserve">
NPV Values are normalized to the Baseline </t>
        </r>
      </text>
    </comment>
    <comment ref="M334" authorId="0" shapeId="0" xr:uid="{00000000-0006-0000-0B00-00000E000000}">
      <text>
        <r>
          <rPr>
            <b/>
            <sz val="9"/>
            <color indexed="81"/>
            <rFont val="Tahoma"/>
            <family val="2"/>
          </rPr>
          <t>Author:</t>
        </r>
        <r>
          <rPr>
            <sz val="9"/>
            <color indexed="81"/>
            <rFont val="Tahoma"/>
            <family val="2"/>
          </rPr>
          <t xml:space="preserve">
NPV Values are normalized to the Baseline </t>
        </r>
      </text>
    </comment>
    <comment ref="N334" authorId="0" shapeId="0" xr:uid="{00000000-0006-0000-0B00-00000F000000}">
      <text>
        <r>
          <rPr>
            <b/>
            <sz val="9"/>
            <color indexed="81"/>
            <rFont val="Tahoma"/>
            <family val="2"/>
          </rPr>
          <t>Author:</t>
        </r>
        <r>
          <rPr>
            <sz val="9"/>
            <color indexed="81"/>
            <rFont val="Tahoma"/>
            <family val="2"/>
          </rPr>
          <t xml:space="preserve">
NPV Values are normalized to the Baseline </t>
        </r>
      </text>
    </comment>
    <comment ref="O334" authorId="0" shapeId="0" xr:uid="{00000000-0006-0000-0B00-000010000000}">
      <text>
        <r>
          <rPr>
            <b/>
            <sz val="9"/>
            <color indexed="81"/>
            <rFont val="Tahoma"/>
            <family val="2"/>
          </rPr>
          <t>Author:</t>
        </r>
        <r>
          <rPr>
            <sz val="9"/>
            <color indexed="81"/>
            <rFont val="Tahoma"/>
            <family val="2"/>
          </rPr>
          <t xml:space="preserve">
NPV Values are normalized to the Baseline </t>
        </r>
      </text>
    </comment>
    <comment ref="P334" authorId="0" shapeId="0" xr:uid="{00000000-0006-0000-0B00-000011000000}">
      <text>
        <r>
          <rPr>
            <b/>
            <sz val="9"/>
            <color indexed="81"/>
            <rFont val="Tahoma"/>
            <family val="2"/>
          </rPr>
          <t>Author:</t>
        </r>
        <r>
          <rPr>
            <sz val="9"/>
            <color indexed="81"/>
            <rFont val="Tahoma"/>
            <family val="2"/>
          </rPr>
          <t xml:space="preserve">
NPV Values are normalized to the Baseline </t>
        </r>
      </text>
    </comment>
    <comment ref="Q334" authorId="0" shapeId="0" xr:uid="{00000000-0006-0000-0B00-000012000000}">
      <text>
        <r>
          <rPr>
            <b/>
            <sz val="9"/>
            <color indexed="81"/>
            <rFont val="Tahoma"/>
            <family val="2"/>
          </rPr>
          <t>Author:</t>
        </r>
        <r>
          <rPr>
            <sz val="9"/>
            <color indexed="81"/>
            <rFont val="Tahoma"/>
            <family val="2"/>
          </rPr>
          <t xml:space="preserve">
NPV Values are normalized to the Baseline </t>
        </r>
      </text>
    </comment>
    <comment ref="R334" authorId="0" shapeId="0" xr:uid="{00000000-0006-0000-0B00-000013000000}">
      <text>
        <r>
          <rPr>
            <b/>
            <sz val="9"/>
            <color indexed="81"/>
            <rFont val="Tahoma"/>
            <family val="2"/>
          </rPr>
          <t>Author:</t>
        </r>
        <r>
          <rPr>
            <sz val="9"/>
            <color indexed="81"/>
            <rFont val="Tahoma"/>
            <family val="2"/>
          </rPr>
          <t xml:space="preserve">
NPV Values are normalized to the Baseline </t>
        </r>
      </text>
    </comment>
    <comment ref="S334" authorId="0" shapeId="0" xr:uid="{00000000-0006-0000-0B00-000014000000}">
      <text>
        <r>
          <rPr>
            <b/>
            <sz val="9"/>
            <color indexed="81"/>
            <rFont val="Tahoma"/>
            <family val="2"/>
          </rPr>
          <t>Author:</t>
        </r>
        <r>
          <rPr>
            <sz val="9"/>
            <color indexed="81"/>
            <rFont val="Tahoma"/>
            <family val="2"/>
          </rPr>
          <t xml:space="preserve">
NPV Values are normalized to the Baseline </t>
        </r>
      </text>
    </comment>
    <comment ref="T334" authorId="0" shapeId="0" xr:uid="{00000000-0006-0000-0B00-000015000000}">
      <text>
        <r>
          <rPr>
            <b/>
            <sz val="9"/>
            <color indexed="81"/>
            <rFont val="Tahoma"/>
            <family val="2"/>
          </rPr>
          <t>Author:</t>
        </r>
        <r>
          <rPr>
            <sz val="9"/>
            <color indexed="81"/>
            <rFont val="Tahoma"/>
            <family val="2"/>
          </rPr>
          <t xml:space="preserve">
NPV Values are normalized to the Baseline </t>
        </r>
      </text>
    </comment>
    <comment ref="U334" authorId="0" shapeId="0" xr:uid="{00000000-0006-0000-0B00-000016000000}">
      <text>
        <r>
          <rPr>
            <b/>
            <sz val="9"/>
            <color indexed="81"/>
            <rFont val="Tahoma"/>
            <family val="2"/>
          </rPr>
          <t>Author:</t>
        </r>
        <r>
          <rPr>
            <sz val="9"/>
            <color indexed="81"/>
            <rFont val="Tahoma"/>
            <family val="2"/>
          </rPr>
          <t xml:space="preserve">
NPV Values are normalized to the Baseline </t>
        </r>
      </text>
    </comment>
    <comment ref="A335" authorId="0" shapeId="0" xr:uid="{00000000-0006-0000-0B00-000017000000}">
      <text>
        <r>
          <rPr>
            <b/>
            <sz val="9"/>
            <color indexed="81"/>
            <rFont val="Tahoma"/>
            <family val="2"/>
          </rPr>
          <t>Author:</t>
        </r>
        <r>
          <rPr>
            <sz val="9"/>
            <color indexed="81"/>
            <rFont val="Tahoma"/>
            <family val="2"/>
          </rPr>
          <t xml:space="preserve">
Value of Heating Fuel Deferred - Cost of Stove System</t>
        </r>
      </text>
    </comment>
    <comment ref="B335" authorId="0" shapeId="0" xr:uid="{00000000-0006-0000-0B00-000018000000}">
      <text>
        <r>
          <rPr>
            <b/>
            <sz val="9"/>
            <color indexed="81"/>
            <rFont val="Tahoma"/>
            <family val="2"/>
          </rPr>
          <t>Author:</t>
        </r>
        <r>
          <rPr>
            <sz val="9"/>
            <color indexed="81"/>
            <rFont val="Tahoma"/>
            <family val="2"/>
          </rPr>
          <t xml:space="preserve">
NPV Values are normalized to the Baseline </t>
        </r>
      </text>
    </comment>
    <comment ref="A341" authorId="0" shapeId="0" xr:uid="{00000000-0006-0000-0B00-000019000000}">
      <text>
        <r>
          <rPr>
            <b/>
            <sz val="9"/>
            <color indexed="81"/>
            <rFont val="Tahoma"/>
            <family val="2"/>
          </rPr>
          <t>Author:</t>
        </r>
        <r>
          <rPr>
            <sz val="9"/>
            <color indexed="81"/>
            <rFont val="Tahoma"/>
            <family val="2"/>
          </rPr>
          <t xml:space="preserve">
Value of Heating Fuel Deferred - Cost of Stove System</t>
        </r>
      </text>
    </comment>
  </commentList>
</comments>
</file>

<file path=xl/sharedStrings.xml><?xml version="1.0" encoding="utf-8"?>
<sst xmlns="http://schemas.openxmlformats.org/spreadsheetml/2006/main" count="3703" uniqueCount="375">
  <si>
    <t>Base Case</t>
  </si>
  <si>
    <t>Sensitivities</t>
  </si>
  <si>
    <t>Nominal Discount Rate</t>
  </si>
  <si>
    <t>Item</t>
  </si>
  <si>
    <t>Comment</t>
  </si>
  <si>
    <t>High EE</t>
  </si>
  <si>
    <t xml:space="preserve">ASSUMPTIONS (Selected). </t>
  </si>
  <si>
    <t>New Solar</t>
  </si>
  <si>
    <t>No Generator</t>
  </si>
  <si>
    <t>Hydro Stand-In</t>
  </si>
  <si>
    <t>New Wind</t>
  </si>
  <si>
    <t>New Storage</t>
  </si>
  <si>
    <t>No Battery</t>
  </si>
  <si>
    <t>SG 100</t>
  </si>
  <si>
    <t>Bat 100/100</t>
  </si>
  <si>
    <t>SG 200</t>
  </si>
  <si>
    <t>Bat 10/10</t>
  </si>
  <si>
    <t>SG 300</t>
  </si>
  <si>
    <t>SG 500</t>
  </si>
  <si>
    <t>Bat 50/50</t>
  </si>
  <si>
    <t>WG 100</t>
  </si>
  <si>
    <t>WG 500</t>
  </si>
  <si>
    <t>Shungnak Hydro</t>
  </si>
  <si>
    <t>WG 300</t>
  </si>
  <si>
    <t>WG 400</t>
  </si>
  <si>
    <t>Cost</t>
  </si>
  <si>
    <t>Operational Cost</t>
  </si>
  <si>
    <t>$0 Dollars/Hour</t>
  </si>
  <si>
    <t>Capacity</t>
  </si>
  <si>
    <t>100 kWh</t>
  </si>
  <si>
    <t>Overall</t>
  </si>
  <si>
    <t>200 kWh</t>
  </si>
  <si>
    <t>300 kWh</t>
  </si>
  <si>
    <t>400 kWh</t>
  </si>
  <si>
    <t>500 kWh</t>
  </si>
  <si>
    <t>Wind</t>
  </si>
  <si>
    <t>Using $5/W to be consistent with NREL.  Installation Cost ~$3.5/Watt from AKAES Solar 042216 document.</t>
  </si>
  <si>
    <t>Solar</t>
  </si>
  <si>
    <t>Hydro</t>
  </si>
  <si>
    <t>235 kWh</t>
  </si>
  <si>
    <t>Battery</t>
  </si>
  <si>
    <t>Charging Efficiencies</t>
  </si>
  <si>
    <t>Discharging Efficiencies</t>
  </si>
  <si>
    <t>Energy Capacity</t>
  </si>
  <si>
    <t>Max Charge Rate</t>
  </si>
  <si>
    <t>100 kW</t>
  </si>
  <si>
    <t>Max Discharge Rate</t>
  </si>
  <si>
    <t>Min State of Charge</t>
  </si>
  <si>
    <t>Max State of Charge</t>
  </si>
  <si>
    <t>Desired State of Charge</t>
  </si>
  <si>
    <t>Load</t>
  </si>
  <si>
    <t>Min</t>
  </si>
  <si>
    <t>1.6 kW</t>
  </si>
  <si>
    <t>Average</t>
  </si>
  <si>
    <t>291.41 kW</t>
  </si>
  <si>
    <t>Max</t>
  </si>
  <si>
    <t>1,551.37 kW</t>
  </si>
  <si>
    <t>Heat Load Min</t>
  </si>
  <si>
    <t>Heat Load Average</t>
  </si>
  <si>
    <t>Heat Load Max</t>
  </si>
  <si>
    <t>Electrical Load Min</t>
  </si>
  <si>
    <t>Electrical Load Average</t>
  </si>
  <si>
    <t>Electrical Load Max</t>
  </si>
  <si>
    <t>Total Sim Time</t>
  </si>
  <si>
    <t>219,000 hrs</t>
  </si>
  <si>
    <t>Total</t>
  </si>
  <si>
    <t>Thermal Load Service</t>
  </si>
  <si>
    <t>Overall Energy Availability</t>
  </si>
  <si>
    <t>DBT Occurrences w/ Load Loss</t>
  </si>
  <si>
    <t>Total Load Served</t>
  </si>
  <si>
    <t>0 kWh</t>
  </si>
  <si>
    <t>Total Load Not Served</t>
  </si>
  <si>
    <t>Post-Startup</t>
  </si>
  <si>
    <t>Post-Startup Energy Availability</t>
  </si>
  <si>
    <t>DBT Occurrences w/ Post-Startup Load Loss</t>
  </si>
  <si>
    <t>Total Post-Startup Load Served</t>
  </si>
  <si>
    <t>Total Post-Startup Load Not Served</t>
  </si>
  <si>
    <t>Variable Selections</t>
  </si>
  <si>
    <t>Metric Values</t>
  </si>
  <si>
    <t>Purchase Cost</t>
  </si>
  <si>
    <t>Energy Availability</t>
  </si>
  <si>
    <t>Diesel Fuel Used</t>
  </si>
  <si>
    <t>Heating Fuel Deferred</t>
  </si>
  <si>
    <t>Average Renewable Energy Spilled</t>
  </si>
  <si>
    <t>Diesel Utilization</t>
  </si>
  <si>
    <t>Fixed Cost</t>
  </si>
  <si>
    <t>Variable Cost</t>
  </si>
  <si>
    <t>Total Cost</t>
  </si>
  <si>
    <t>Generation</t>
  </si>
  <si>
    <t>Total Diesel Generation</t>
  </si>
  <si>
    <t>Overall Diesel Efficiency</t>
  </si>
  <si>
    <t>Overall Diesel Utilization</t>
  </si>
  <si>
    <t>Solar Generated</t>
  </si>
  <si>
    <t>Solar Spilled</t>
  </si>
  <si>
    <t>Wind Generated</t>
  </si>
  <si>
    <t>Wind Spilled</t>
  </si>
  <si>
    <t>Total Solar Generation</t>
  </si>
  <si>
    <t>Total Wind Generation</t>
  </si>
  <si>
    <t>Diesel oil cost ($/gal)</t>
  </si>
  <si>
    <t>Heating fuel cost ($/gal)</t>
  </si>
  <si>
    <t>Year</t>
  </si>
  <si>
    <t>Diesel Fuel Cost</t>
  </si>
  <si>
    <t>HHV (Btu/gallon)</t>
  </si>
  <si>
    <t>Conversion (kWh/Btu)</t>
  </si>
  <si>
    <t>Power Utility Statistics</t>
  </si>
  <si>
    <t>Failure Statistics</t>
  </si>
  <si>
    <t>Occurrences</t>
  </si>
  <si>
    <t>1 (all attributed to "Islanded Operations")</t>
  </si>
  <si>
    <t>Downtime</t>
  </si>
  <si>
    <t>Weight</t>
  </si>
  <si>
    <t>Fixed Weight</t>
  </si>
  <si>
    <t>0 lbs</t>
  </si>
  <si>
    <t>Variable Weight</t>
  </si>
  <si>
    <t>Total Weight</t>
  </si>
  <si>
    <t>Volume</t>
  </si>
  <si>
    <t>Fixed Volume</t>
  </si>
  <si>
    <t>0 cu ft</t>
  </si>
  <si>
    <t>Variable Volume</t>
  </si>
  <si>
    <t>Total Volume</t>
  </si>
  <si>
    <t>Aggregated</t>
  </si>
  <si>
    <t>0.63 kW</t>
  </si>
  <si>
    <t>199.45 kW</t>
  </si>
  <si>
    <t>399.46 kW</t>
  </si>
  <si>
    <t>Tier (Only)</t>
  </si>
  <si>
    <t>Priority</t>
  </si>
  <si>
    <t>Load Service</t>
  </si>
  <si>
    <t>Startup Time</t>
  </si>
  <si>
    <t>Renewable Penetration</t>
  </si>
  <si>
    <t>Histogram (% of DBT Time)</t>
  </si>
  <si>
    <t>&lt;= -100.00%</t>
  </si>
  <si>
    <t>&lt;= 0.00%</t>
  </si>
  <si>
    <t>&lt;= 25.00%</t>
  </si>
  <si>
    <t>&lt;= 50.00%</t>
  </si>
  <si>
    <t>&lt;= 75.00%</t>
  </si>
  <si>
    <t>&lt;= 100.00%</t>
  </si>
  <si>
    <t>&lt;= 110.00%</t>
  </si>
  <si>
    <t>&lt;= 120.00%</t>
  </si>
  <si>
    <t>&lt;= 130.00%</t>
  </si>
  <si>
    <t>&lt;= 140.00%</t>
  </si>
  <si>
    <t>&lt;= Infinity</t>
  </si>
  <si>
    <t>Diesel Fuel Use</t>
  </si>
  <si>
    <t>Natural Gas Use</t>
  </si>
  <si>
    <t>0 MBTU per outage</t>
  </si>
  <si>
    <t>Spinning Reserve</t>
  </si>
  <si>
    <t>&lt;= 5.00%</t>
  </si>
  <si>
    <t>&lt;= 10.00%</t>
  </si>
  <si>
    <t>&lt;= 15.00%</t>
  </si>
  <si>
    <t>&lt;= 20.00%</t>
  </si>
  <si>
    <t>&lt;= 30.00%</t>
  </si>
  <si>
    <t>&lt;= 40.00%</t>
  </si>
  <si>
    <t>0.17 min</t>
  </si>
  <si>
    <t>Simulation Statistics "CASE NUMBER"</t>
  </si>
  <si>
    <t>Diesel Fuel Used (Gal/Hour)</t>
  </si>
  <si>
    <t>Heating Fuel Deferred (GHFE/Year)</t>
  </si>
  <si>
    <t>Load Inflation Rate</t>
  </si>
  <si>
    <t>Assumptions</t>
  </si>
  <si>
    <t># of Stoves</t>
  </si>
  <si>
    <t>kW of Stoves</t>
  </si>
  <si>
    <t xml:space="preserve">Stove Cost </t>
  </si>
  <si>
    <t>Total % ROI</t>
  </si>
  <si>
    <t>Horizon (years)</t>
  </si>
  <si>
    <t>Highest NPV Cases</t>
  </si>
  <si>
    <t>Fuel Cost Adjustment</t>
  </si>
  <si>
    <t>Load calculated in 2028 and used as an average for the whole period</t>
  </si>
  <si>
    <t xml:space="preserve">Frontier F24 </t>
  </si>
  <si>
    <t>Frontier F24 100 kW turbine</t>
  </si>
  <si>
    <t>WG 200 (2 turbines)</t>
  </si>
  <si>
    <t xml:space="preserve">o Power curve provided by Dennis Meiners. </t>
  </si>
  <si>
    <t xml:space="preserve">o Hub height provided by Dennis Meiners. </t>
  </si>
  <si>
    <t xml:space="preserve">o Capital cost of $700,000 from discussions with Dennis Meiners. Assumed replacement cost of 80% of new cost. Per Dennis, reduced costs of each succeeding turbine, (up to 4 additional) by 5% each. Per ACEP report used a value of O&amp;M of $17,500 per year. Reduced costs of each succeeding turbine, (up to 4 additional) by 5% each. </t>
  </si>
  <si>
    <t xml:space="preserve">o Added fixed cost of $200,000 to the turbine cost to account for integration costs. So... the first turbine is $900,000, the second turbine is an additional $665,000, etc. Wind Resource </t>
  </si>
  <si>
    <t>o Used measured data (10 min) from June 2012 - June 2013. Loaded into Windographer, QC'd, and filled gaps. o Exported hourly data file and reordered to create file running from Jan 1 - Dec 31. Integration o Assume $300,000 integration costs. Treat as a fixed cost applied as follows – Wind turbine: $200,000 -- Converter: $50,000 -- Batteries (Li-Ion): $50,000</t>
  </si>
  <si>
    <t xml:space="preserve">Converter </t>
  </si>
  <si>
    <t xml:space="preserve">o Fixed cost: $50,000 </t>
  </si>
  <si>
    <t xml:space="preserve">o Marginal cost (Up to 160 kW) $875/kW </t>
  </si>
  <si>
    <t xml:space="preserve">o Marginal cost: (&gt; 160 kW): $600/kW </t>
  </si>
  <si>
    <t xml:space="preserve">o Replacement cost: 75% of initial cost </t>
  </si>
  <si>
    <t>o O&amp;M: $10/kW</t>
  </si>
  <si>
    <t xml:space="preserve">Batteries </t>
  </si>
  <si>
    <t xml:space="preserve">o Marginal cost (Up to 200 kWh) $700/kWh </t>
  </si>
  <si>
    <t xml:space="preserve">o Marginal cost: (&gt; 200 kWh): $480/kWh </t>
  </si>
  <si>
    <t xml:space="preserve">o O&amp;M: $20/kWh </t>
  </si>
  <si>
    <t>Stove Heating System</t>
  </si>
  <si>
    <t>o Fixed cost: $10,000 o Marginal cost: $3,000 per (6 kW) stove)</t>
  </si>
  <si>
    <t xml:space="preserve">Thermal Load Controller Per conversations with Dennis </t>
  </si>
  <si>
    <t>Simulation takes spilled wind/solar and uses converts it to heat energy</t>
  </si>
  <si>
    <t>Efficiency</t>
  </si>
  <si>
    <t xml:space="preserve">Integration Cost </t>
  </si>
  <si>
    <t>Cost per stove</t>
  </si>
  <si>
    <t xml:space="preserve">o Time series (10 min) data from 2015. (~70% data recovery). </t>
  </si>
  <si>
    <t xml:space="preserve">o Small gaps (up to 3 hours) filled by averaging from loads just prior and just after the gap </t>
  </si>
  <si>
    <t xml:space="preserve">o Large gaps filled by 1) Using data from 2016; 2) Copying data from prior to or after the gap. </t>
  </si>
  <si>
    <t xml:space="preserve">o File run through Windographer to convert to 60 min time steps </t>
  </si>
  <si>
    <t>Assume that waste heat is free to heating customers</t>
  </si>
  <si>
    <t xml:space="preserve">Waste heat is not free, however it is much less expencive than heating fuel. As this analysis uses all waste heat avalible, regardless of price, we can role the opertunity cost of waste heat into the marginal cost of heating fuel. </t>
  </si>
  <si>
    <t>Stove Power per unit (kW)</t>
  </si>
  <si>
    <t>30.1 kWh</t>
  </si>
  <si>
    <t>29.37 kWh</t>
  </si>
  <si>
    <t>3,235,619.68 gal per outage</t>
  </si>
  <si>
    <t>WG 200</t>
  </si>
  <si>
    <t>Heating Fuel Cost</t>
  </si>
  <si>
    <t xml:space="preserve"> </t>
  </si>
  <si>
    <t>Normalized to Energy Efficient System</t>
  </si>
  <si>
    <t>Normalized NPV (Utility Only)</t>
  </si>
  <si>
    <t>Normalized NPV (Heating Customers Only)</t>
  </si>
  <si>
    <t>Normalized Total NPV</t>
  </si>
  <si>
    <t>Normalized % ROI</t>
  </si>
  <si>
    <t>Simulation Statistics</t>
  </si>
  <si>
    <t>Downtime (hrs)</t>
  </si>
  <si>
    <t>Total Load Served (kWh)</t>
  </si>
  <si>
    <t>Total Post-Startup Load Served (kWh)</t>
  </si>
  <si>
    <t>Total Load Not Served (kWh)</t>
  </si>
  <si>
    <t>219,0</t>
  </si>
  <si>
    <t>Heating Fuel Deferred from Waste Heat (GHFE/Year)</t>
  </si>
  <si>
    <t>Heating Fuel Deferred from Stoves  (GHFE/Year)</t>
  </si>
  <si>
    <t xml:space="preserve">Energy Efficiency Cost Electrical Curve </t>
  </si>
  <si>
    <t>Energy Efficiency Cost Thermal Curve</t>
  </si>
  <si>
    <t>Baseline electrical load (kWh/year)</t>
  </si>
  <si>
    <t>EE electrical load reduction cost ($/kWh/year)</t>
  </si>
  <si>
    <t>EE thermal load reduction cost ($/kWh/year)</t>
  </si>
  <si>
    <t>EE thermal load reduction (%)</t>
  </si>
  <si>
    <t>EE electrical load reduction (%)</t>
  </si>
  <si>
    <t>Financial calculations</t>
  </si>
  <si>
    <t>Baseline thermal load (kWh/year)</t>
  </si>
  <si>
    <t>Heating Fuel use (Gal/year)</t>
  </si>
  <si>
    <t>Total Diesel Fuel Cost</t>
  </si>
  <si>
    <t>Total Heating Fuel Cost</t>
  </si>
  <si>
    <t xml:space="preserve">Total Net Present Cost </t>
  </si>
  <si>
    <t>Baseline total fuel use (gal/year)</t>
  </si>
  <si>
    <t>Baseline total net present cost</t>
  </si>
  <si>
    <t xml:space="preserve">Net Reduction in Imported Fuel </t>
  </si>
  <si>
    <t>Deasil Fuel use (Gal/year)</t>
  </si>
  <si>
    <t>Total Fuel usage (Gal/year)</t>
  </si>
  <si>
    <t>Marginal Net Present Value (NPC-Baseline)</t>
  </si>
  <si>
    <t>Baseline heating fuel net present cost</t>
  </si>
  <si>
    <t>Baseline diesel fuel net present cost</t>
  </si>
  <si>
    <t>Marginal NPV =  NPC - NPC(baseline) - capital investment</t>
  </si>
  <si>
    <t>Marginal NPV (Utility Only)</t>
  </si>
  <si>
    <t>Marginal NPV (Heating Customers Only)</t>
  </si>
  <si>
    <t>Total Marginal NPV</t>
  </si>
  <si>
    <t>Diesel Plant O&amp;M (ACEP Cost Model)  (Diesel genset only, not plant)</t>
  </si>
  <si>
    <t>Diesel Size (kW)</t>
  </si>
  <si>
    <t>Load Factor (%)</t>
  </si>
  <si>
    <t>O&amp;M ($/kWh)</t>
  </si>
  <si>
    <t>O&amp;M ($/hr)</t>
  </si>
  <si>
    <t>Hourly O&amp;M Costs adjusted to match AVEC non-fuel generating costs (2016) of $0.0955/kWh</t>
  </si>
  <si>
    <t>(Multiply costs by 0.75)</t>
  </si>
  <si>
    <t>Adjustment factor</t>
  </si>
  <si>
    <t>Highlights</t>
  </si>
  <si>
    <t>Low EE</t>
  </si>
  <si>
    <t>Electrical Load -5%</t>
  </si>
  <si>
    <t>Thermal Load -25%</t>
  </si>
  <si>
    <t>Medium EE</t>
  </si>
  <si>
    <t>Electrical Load -10%</t>
  </si>
  <si>
    <t>Thermal Load -35%</t>
  </si>
  <si>
    <t>Electrical Load -15%</t>
  </si>
  <si>
    <t>Thermal Load -45%</t>
  </si>
  <si>
    <t>Rated Power (kW)</t>
  </si>
  <si>
    <t>IES ($)</t>
  </si>
  <si>
    <t>Bill Stamm ($)</t>
  </si>
  <si>
    <t>Unit Cost ($/kW)</t>
  </si>
  <si>
    <t>Diesel Gen Set Data</t>
  </si>
  <si>
    <t>JD 6619 Run Time (hours)</t>
  </si>
  <si>
    <t>CAT 3406 Run Time (hours)</t>
  </si>
  <si>
    <t>SD 60  Run Time (hours)</t>
  </si>
  <si>
    <t>CMS K19G2 Run Time (hours)</t>
  </si>
  <si>
    <t>Total Run Time</t>
  </si>
  <si>
    <t>Assumed replacement usage (hours)</t>
  </si>
  <si>
    <t>365kW Gen O&amp;M</t>
  </si>
  <si>
    <t>397kW Gen O&amp;M</t>
  </si>
  <si>
    <t>314kW Gen O&amp;M</t>
  </si>
  <si>
    <t>202kW Gen O&amp;M</t>
  </si>
  <si>
    <t>Gen replacement curve ($/kW)</t>
  </si>
  <si>
    <t>Gen replacement curve ($)</t>
  </si>
  <si>
    <t xml:space="preserve">JD 6619 </t>
  </si>
  <si>
    <t xml:space="preserve">CAT 3406 </t>
  </si>
  <si>
    <t xml:space="preserve">SD 60  </t>
  </si>
  <si>
    <t xml:space="preserve">CMS </t>
  </si>
  <si>
    <t>Gen Replacement Cost (per year)</t>
  </si>
  <si>
    <t>Gen O&amp;M Cost (per year)</t>
  </si>
  <si>
    <t>Genorator relplcement every 60,000-100,000 hours</t>
  </si>
  <si>
    <t>Gen O&amp;M + Replacement Cost</t>
  </si>
  <si>
    <t>Total Gen O&amp;M + Replacement Cost</t>
  </si>
  <si>
    <t>EE electrical load(kWh/year)</t>
  </si>
  <si>
    <t>EE thermal load(kWh/year)</t>
  </si>
  <si>
    <t>Baseline Gen O&amp;M net present cost</t>
  </si>
  <si>
    <t>New Small (100kW) Gen (purchase)</t>
  </si>
  <si>
    <t>Renewable Energy Purchase Cost</t>
  </si>
  <si>
    <t>Energy Efficiency Cost</t>
  </si>
  <si>
    <t>With Heating Stoves</t>
  </si>
  <si>
    <t>Without Heating stoves</t>
  </si>
  <si>
    <t>New Generator</t>
  </si>
  <si>
    <t xml:space="preserve">Stove Purchase Cost </t>
  </si>
  <si>
    <t>100kW  Diesel</t>
  </si>
  <si>
    <t xml:space="preserve">New Generator Purchase Cost </t>
  </si>
  <si>
    <t>Raw DATA</t>
  </si>
  <si>
    <t>Summary Results</t>
  </si>
  <si>
    <t>Highest NPV Case for Utility</t>
  </si>
  <si>
    <t>Highest Total NPV Case</t>
  </si>
  <si>
    <t>Base EE Case</t>
  </si>
  <si>
    <t>Case Metrics</t>
  </si>
  <si>
    <t>Energy Efficiency Cost (Customers)</t>
  </si>
  <si>
    <t>Stove Purchase Cost (Customers)</t>
  </si>
  <si>
    <t>Renewable Energy Purchase Cost (Utility)</t>
  </si>
  <si>
    <t>New Generator Purchase Cost (Utility)</t>
  </si>
  <si>
    <t xml:space="preserve">Hydro </t>
  </si>
  <si>
    <t>Analysis using 3% discount rate</t>
  </si>
  <si>
    <t>Highest NPV Case for Heat Customer</t>
  </si>
  <si>
    <t>Analysis using 7% discount rate</t>
  </si>
  <si>
    <t>Load was average 180.99 kW in 2015. Assume Load inflation rate of 0.75% per year, Load calculated in 2028 and used as an average for the whole period</t>
  </si>
  <si>
    <t>Total Capital Cost</t>
  </si>
  <si>
    <t xml:space="preserve">Low EE </t>
  </si>
  <si>
    <t>Midium EE</t>
  </si>
  <si>
    <t>Low EE no Stoves</t>
  </si>
  <si>
    <t>Midium EE no Stoves</t>
  </si>
  <si>
    <t>High EE no Stoves</t>
  </si>
  <si>
    <t>JD 6619 Run Time (hours/year)</t>
  </si>
  <si>
    <t>CAT 3406 Run Time (hours/year)</t>
  </si>
  <si>
    <t>SD 60  Run Time (hours/year)</t>
  </si>
  <si>
    <t>CMS K19G2 Run Time (hours/year)</t>
  </si>
  <si>
    <t>Solar Generated (kWh/25y)</t>
  </si>
  <si>
    <t>Overall Diesel Utilization (%loading)</t>
  </si>
  <si>
    <t xml:space="preserve">Overall Diesel Efficiency </t>
  </si>
  <si>
    <t xml:space="preserve">Average Renewable Energy Spilled </t>
  </si>
  <si>
    <t xml:space="preserve">Diesel Utilization </t>
  </si>
  <si>
    <t>O&amp;M ($/Hr/kWh)</t>
  </si>
  <si>
    <t>Wind O&amp;M Cost ($/kWh)</t>
  </si>
  <si>
    <t xml:space="preserve"> (excludes repairs &amp; replacements)</t>
  </si>
  <si>
    <t>Operational Cost (Dollars/Hour)</t>
  </si>
  <si>
    <t>Solar O&amp;M Cost ($/hour/100kW)</t>
  </si>
  <si>
    <t>New Wind Turbines (#)</t>
  </si>
  <si>
    <t>New 100kW Solar Fields (#)</t>
  </si>
  <si>
    <t>Wind O&amp;M Cost ($/year)</t>
  </si>
  <si>
    <t>Operational Cost ($/year)</t>
  </si>
  <si>
    <t xml:space="preserve">o Replacement cost of $560,000 for the first turbine with reduced costs of each succeeding turbine, (up to 4 additional) by 5% each. </t>
  </si>
  <si>
    <t>Wind Replacement cost (First turbine)</t>
  </si>
  <si>
    <t>Solar Replacement NPV (converter only after 10 years)</t>
  </si>
  <si>
    <t>Gen + Wind + Solar O&amp;M + Genorator Replacement Cost</t>
  </si>
  <si>
    <t>RE Purchase Cost</t>
  </si>
  <si>
    <t>Wind Replacement Cost (per replacement)</t>
  </si>
  <si>
    <t>Wind O&amp;M Cost per year ($/year)</t>
  </si>
  <si>
    <t>Solar O&amp;M Cost per year ($/year)</t>
  </si>
  <si>
    <t>https://www.commerce.alaska.gov/dcra/DCRAExternal/Community/Details/c7c0d5ad-dab5-40d3-bfd2-abd8a8969c17</t>
  </si>
  <si>
    <t>Accessed 8/1/2017</t>
  </si>
  <si>
    <t>Alaska DOC</t>
  </si>
  <si>
    <t>Alaska Affordable Energy Model Database (BETA)</t>
  </si>
  <si>
    <t>http://model-results.akenergyinventory.org/m0.24.6_d0.24.0/Shungnak/financial_and_demographic.html</t>
  </si>
  <si>
    <t>AHFC/DCRA Survey: No. 1 Fuel Oil</t>
  </si>
  <si>
    <t>https://akenergygateway.alaska.edu/community-data-summary/1413983/#history</t>
  </si>
  <si>
    <t>Diesel Price</t>
  </si>
  <si>
    <t>Heating Fuel Price</t>
  </si>
  <si>
    <t>"-30%, -15%, +50%, +100%"</t>
  </si>
  <si>
    <t>Wind Replacement NPV (Turbines are replaced every 20 years: this means that the first replacement is out of the time horizon for this analysis and so the replacement cost is not used)</t>
  </si>
  <si>
    <t>low</t>
  </si>
  <si>
    <t xml:space="preserve">med </t>
  </si>
  <si>
    <t>high</t>
  </si>
  <si>
    <t>3%, +0%</t>
  </si>
  <si>
    <t>7%, +0%</t>
  </si>
  <si>
    <t>7%, +100%</t>
  </si>
  <si>
    <t>7%, +50%</t>
  </si>
  <si>
    <t>7%, -15%</t>
  </si>
  <si>
    <t>7%, -30%</t>
  </si>
  <si>
    <t>3%, +100%</t>
  </si>
  <si>
    <t>3%, +50%</t>
  </si>
  <si>
    <t>3%, -15%</t>
  </si>
  <si>
    <t>3%, -30%</t>
  </si>
  <si>
    <t>Total NPV</t>
  </si>
  <si>
    <t>Capital Cost</t>
  </si>
  <si>
    <t>low, no stove</t>
  </si>
  <si>
    <t>med, no stove</t>
  </si>
  <si>
    <t>high, no stove</t>
  </si>
  <si>
    <t>X-axis for plot</t>
  </si>
  <si>
    <t>Maximum NPV</t>
  </si>
  <si>
    <t>Diesel Fuel use (Gal/year)</t>
  </si>
  <si>
    <t>Operational Cost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</si>
</sst>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164" formatCode="&quot;$&quot;#,##0"/>
    <numFmt numFmtId="165" formatCode="0.0%"/>
    <numFmt numFmtId="166" formatCode="&quot;$&quot;#,##0.00"/>
    <numFmt numFmtId="167" formatCode="&quot;$&quot;#,##0.00;[Red]&quot;$&quot;#,##0.00"/>
    <numFmt numFmtId="168" formatCode="&quot;$&quot;#,##0.000"/>
    <numFmt numFmtId="169" formatCode="&quot;$&quot;#,##0.000;[Red]&quot;$&quot;#,##0.000"/>
  </numFmts>
  <fonts count="2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1"/>
      <color rgb="FF333333"/>
      <name val="ArialRegula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DAB67"/>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9">
    <xf numFmtId="0" fontId="0" fillId="0" borderId="0" xfId="0"/>
    <xf numFmtId="164" fontId="0" fillId="0" borderId="0" xfId="0" applyNumberFormat="1"/>
    <xf numFmtId="3" fontId="0" fillId="0" borderId="0" xfId="0" applyNumberFormat="1"/>
    <xf numFmtId="165" fontId="0" fillId="0" borderId="0" xfId="0" applyNumberFormat="1"/>
    <xf numFmtId="166" fontId="0" fillId="0" borderId="0" xfId="0" applyNumberFormat="1"/>
    <xf numFmtId="4" fontId="0" fillId="0" borderId="0" xfId="0" applyNumberFormat="1"/>
    <xf numFmtId="8" fontId="0" fillId="0" borderId="0" xfId="0" applyNumberFormat="1"/>
    <xf numFmtId="9" fontId="0" fillId="0" borderId="0" xfId="0" applyNumberFormat="1"/>
    <xf numFmtId="6" fontId="0" fillId="0" borderId="0" xfId="0" applyNumberFormat="1"/>
    <xf numFmtId="10" fontId="0" fillId="0" borderId="0" xfId="0" applyNumberFormat="1"/>
    <xf numFmtId="0" fontId="10" fillId="6" borderId="5" xfId="10"/>
    <xf numFmtId="167" fontId="0" fillId="0" borderId="0" xfId="0" applyNumberFormat="1"/>
    <xf numFmtId="167" fontId="10" fillId="6" borderId="5" xfId="10" applyNumberFormat="1"/>
    <xf numFmtId="10" fontId="10" fillId="6" borderId="5" xfId="10" applyNumberFormat="1"/>
    <xf numFmtId="0" fontId="16" fillId="0" borderId="0" xfId="0" applyFont="1"/>
    <xf numFmtId="1" fontId="0" fillId="0" borderId="0" xfId="0" applyNumberFormat="1"/>
    <xf numFmtId="2" fontId="0" fillId="0" borderId="0" xfId="0" applyNumberFormat="1"/>
    <xf numFmtId="0" fontId="16" fillId="0" borderId="0" xfId="0" applyFont="1" applyAlignment="1">
      <alignment vertical="top"/>
    </xf>
    <xf numFmtId="0" fontId="0" fillId="0" borderId="0" xfId="0" applyAlignment="1">
      <alignment vertical="top"/>
    </xf>
    <xf numFmtId="0" fontId="0" fillId="0" borderId="0" xfId="0" applyAlignment="1">
      <alignment vertical="top" wrapText="1"/>
    </xf>
    <xf numFmtId="164" fontId="0" fillId="0" borderId="0" xfId="0" applyNumberFormat="1" applyAlignment="1">
      <alignment vertical="top"/>
    </xf>
    <xf numFmtId="0" fontId="0" fillId="0" borderId="0" xfId="0" applyAlignment="1">
      <alignment horizontal="right" vertical="top"/>
    </xf>
    <xf numFmtId="0" fontId="16" fillId="0" borderId="0" xfId="0" applyFont="1" applyAlignment="1">
      <alignment horizontal="center" vertical="top"/>
    </xf>
    <xf numFmtId="0" fontId="16" fillId="0" borderId="0" xfId="0" applyFont="1" applyAlignment="1">
      <alignment horizontal="center" vertical="top" wrapText="1"/>
    </xf>
    <xf numFmtId="165" fontId="0" fillId="0" borderId="0" xfId="0" applyNumberFormat="1" applyAlignment="1">
      <alignment vertical="top"/>
    </xf>
    <xf numFmtId="165" fontId="0" fillId="0" borderId="0" xfId="0" applyNumberFormat="1" applyAlignment="1">
      <alignment horizontal="right" vertical="top"/>
    </xf>
    <xf numFmtId="0" fontId="0" fillId="0" borderId="0" xfId="0" applyAlignment="1">
      <alignment horizontal="left" vertical="top" wrapText="1"/>
    </xf>
    <xf numFmtId="166" fontId="0" fillId="0" borderId="0" xfId="0" applyNumberFormat="1" applyAlignment="1">
      <alignment vertical="top"/>
    </xf>
    <xf numFmtId="166" fontId="0" fillId="0" borderId="0" xfId="0" applyNumberFormat="1" applyAlignment="1">
      <alignment horizontal="right" vertical="top"/>
    </xf>
    <xf numFmtId="3" fontId="0" fillId="0" borderId="0" xfId="0" applyNumberFormat="1" applyAlignment="1">
      <alignment vertical="top"/>
    </xf>
    <xf numFmtId="3" fontId="0" fillId="0" borderId="0" xfId="0" applyNumberFormat="1" applyAlignment="1">
      <alignment horizontal="right" vertical="top"/>
    </xf>
    <xf numFmtId="164" fontId="0" fillId="0" borderId="0" xfId="0" applyNumberFormat="1" applyAlignment="1">
      <alignment vertical="top" wrapText="1"/>
    </xf>
    <xf numFmtId="9" fontId="0" fillId="0" borderId="0" xfId="0" applyNumberFormat="1" applyAlignment="1">
      <alignment vertical="top"/>
    </xf>
    <xf numFmtId="6" fontId="0" fillId="0" borderId="0" xfId="0" applyNumberFormat="1" applyAlignment="1">
      <alignment vertical="top"/>
    </xf>
    <xf numFmtId="0" fontId="20" fillId="0" borderId="0" xfId="0" applyFont="1" applyAlignment="1">
      <alignment vertical="top"/>
    </xf>
    <xf numFmtId="10" fontId="0" fillId="0" borderId="0" xfId="0" applyNumberFormat="1" applyAlignment="1">
      <alignment vertical="top"/>
    </xf>
    <xf numFmtId="10" fontId="16" fillId="0" borderId="0" xfId="0" applyNumberFormat="1" applyFont="1"/>
    <xf numFmtId="9" fontId="16" fillId="0" borderId="0" xfId="0" applyNumberFormat="1" applyFont="1"/>
    <xf numFmtId="0" fontId="0" fillId="0" borderId="0" xfId="0" applyFont="1"/>
    <xf numFmtId="0" fontId="0" fillId="0" borderId="0" xfId="0" applyNumberFormat="1"/>
    <xf numFmtId="167" fontId="10" fillId="33" borderId="5" xfId="10" applyNumberFormat="1" applyFill="1"/>
    <xf numFmtId="0" fontId="16" fillId="0" borderId="10" xfId="0" applyFont="1" applyBorder="1" applyAlignment="1">
      <alignment wrapText="1"/>
    </xf>
    <xf numFmtId="168" fontId="0" fillId="0" borderId="0" xfId="0" applyNumberFormat="1"/>
    <xf numFmtId="0" fontId="14" fillId="0" borderId="0" xfId="0" applyFont="1"/>
    <xf numFmtId="166" fontId="14" fillId="0" borderId="0" xfId="0" applyNumberFormat="1" applyFont="1"/>
    <xf numFmtId="0" fontId="0" fillId="0" borderId="0" xfId="0" applyAlignment="1">
      <alignment horizontal="left" indent="1"/>
    </xf>
    <xf numFmtId="0" fontId="16" fillId="0" borderId="0" xfId="0" applyFont="1" applyAlignment="1">
      <alignment wrapText="1"/>
    </xf>
    <xf numFmtId="0" fontId="0" fillId="0" borderId="0" xfId="0" applyAlignment="1">
      <alignment wrapText="1"/>
    </xf>
    <xf numFmtId="167" fontId="0" fillId="0" borderId="0" xfId="0" applyNumberFormat="1" applyAlignment="1">
      <alignment vertical="top"/>
    </xf>
    <xf numFmtId="0" fontId="0" fillId="0" borderId="10" xfId="0" applyBorder="1" applyAlignment="1">
      <alignment wrapText="1"/>
    </xf>
    <xf numFmtId="0" fontId="0" fillId="0" borderId="0" xfId="0" applyFill="1" applyBorder="1" applyAlignment="1">
      <alignment wrapText="1"/>
    </xf>
    <xf numFmtId="0" fontId="16" fillId="0" borderId="0" xfId="0" applyFont="1" applyFill="1" applyAlignment="1">
      <alignment vertical="top"/>
    </xf>
    <xf numFmtId="0" fontId="10" fillId="6" borderId="0" xfId="10" applyBorder="1"/>
    <xf numFmtId="167" fontId="0" fillId="0" borderId="0" xfId="0" applyNumberFormat="1" applyFont="1"/>
    <xf numFmtId="169" fontId="0" fillId="0" borderId="0" xfId="0" applyNumberFormat="1"/>
    <xf numFmtId="166" fontId="0" fillId="0" borderId="0" xfId="0" applyNumberFormat="1" applyAlignment="1">
      <alignment horizontal="left" vertical="top" wrapText="1"/>
    </xf>
    <xf numFmtId="0" fontId="0" fillId="0" borderId="0" xfId="0" applyAlignment="1">
      <alignment horizontal="left" vertical="center" indent="1"/>
    </xf>
    <xf numFmtId="0" fontId="0" fillId="0" borderId="0" xfId="0" applyAlignment="1">
      <alignment vertical="center"/>
    </xf>
    <xf numFmtId="166" fontId="0" fillId="0" borderId="0" xfId="0" applyNumberFormat="1" applyAlignment="1">
      <alignment horizontal="righ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69D8FF"/>
      <color rgb="FFBAE18F"/>
      <color rgb="FF1DAB67"/>
      <color rgb="FF87C5A5"/>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Shungnak</a:t>
            </a:r>
            <a:r>
              <a:rPr lang="en-US" baseline="0"/>
              <a:t> Fuel Use</a:t>
            </a:r>
            <a:endParaRPr lang="en-US"/>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E39-4B9F-8EF8-B4D057116D35}"/>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E39-4B9F-8EF8-B4D057116D3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'NO-EE Detailed'!$A$213:$A$214</c:f>
              <c:strCache>
                <c:ptCount val="2"/>
                <c:pt idx="0">
                  <c:v>Diesel Fuel use (Gal/year)</c:v>
                </c:pt>
                <c:pt idx="1">
                  <c:v>Heating Fuel use (Gal/year)</c:v>
                </c:pt>
              </c:strCache>
            </c:strRef>
          </c:cat>
          <c:val>
            <c:numRef>
              <c:f>'NO-EE Detailed'!$B$213:$B$214</c:f>
              <c:numCache>
                <c:formatCode>#,##0</c:formatCode>
                <c:ptCount val="2"/>
                <c:pt idx="0">
                  <c:v>129385.20000000001</c:v>
                </c:pt>
                <c:pt idx="1">
                  <c:v>56690.38976888133</c:v>
                </c:pt>
              </c:numCache>
            </c:numRef>
          </c:val>
          <c:extLst>
            <c:ext xmlns:c16="http://schemas.microsoft.com/office/drawing/2014/chart" uri="{C3380CC4-5D6E-409C-BE32-E72D297353CC}">
              <c16:uniqueId val="{00000000-ED44-43B2-A0BA-B54E6C036460}"/>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Medium-EE</a:t>
            </a:r>
            <a:r>
              <a:rPr lang="en-US"/>
              <a:t> without Stoves Detailed Results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989627065703805"/>
          <c:w val="0.83095013123359585"/>
          <c:h val="0.67001955788403433"/>
        </c:manualLayout>
      </c:layout>
      <c:scatterChart>
        <c:scatterStyle val="smoothMarker"/>
        <c:varyColors val="0"/>
        <c:ser>
          <c:idx val="0"/>
          <c:order val="0"/>
          <c:tx>
            <c:strRef>
              <c:f>'High-EE no Stoves Detailed'!$A$13</c:f>
              <c:strCache>
                <c:ptCount val="1"/>
                <c:pt idx="0">
                  <c:v>Marginal NPV (Utility Only)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Detailed'!$B$13:$U$13</c:f>
              <c:numCache>
                <c:formatCode>"$"#,##0.00;[Red]"$"#,##0.00</c:formatCode>
                <c:ptCount val="20"/>
                <c:pt idx="0">
                  <c:v>1806858.6998069705</c:v>
                </c:pt>
                <c:pt idx="1">
                  <c:v>1693636.051226736</c:v>
                </c:pt>
                <c:pt idx="2">
                  <c:v>1717764.6933632689</c:v>
                </c:pt>
                <c:pt idx="3">
                  <c:v>1667326.896820263</c:v>
                </c:pt>
                <c:pt idx="4">
                  <c:v>1592223.4947849466</c:v>
                </c:pt>
                <c:pt idx="5">
                  <c:v>3146506.0868497742</c:v>
                </c:pt>
                <c:pt idx="6">
                  <c:v>1451040.5572834322</c:v>
                </c:pt>
                <c:pt idx="7">
                  <c:v>1314381.4135422902</c:v>
                </c:pt>
                <c:pt idx="8">
                  <c:v>1095659.9391603349</c:v>
                </c:pt>
                <c:pt idx="9">
                  <c:v>992626.18451335188</c:v>
                </c:pt>
                <c:pt idx="10">
                  <c:v>2101504.4648399418</c:v>
                </c:pt>
                <c:pt idx="11">
                  <c:v>117.76309096161276</c:v>
                </c:pt>
                <c:pt idx="12">
                  <c:v>-197211.44581465703</c:v>
                </c:pt>
                <c:pt idx="13">
                  <c:v>773934.89302310441</c:v>
                </c:pt>
                <c:pt idx="14">
                  <c:v>1488816.49573188</c:v>
                </c:pt>
                <c:pt idx="15">
                  <c:v>5071352.242803135</c:v>
                </c:pt>
                <c:pt idx="16">
                  <c:v>4971580.3442006009</c:v>
                </c:pt>
                <c:pt idx="17">
                  <c:v>4303561.0465716729</c:v>
                </c:pt>
                <c:pt idx="18">
                  <c:v>4153359.3798414664</c:v>
                </c:pt>
                <c:pt idx="19">
                  <c:v>2799122.7050558394</c:v>
                </c:pt>
              </c:numCache>
            </c:numRef>
          </c:yVal>
          <c:smooth val="1"/>
          <c:extLst>
            <c:ext xmlns:c16="http://schemas.microsoft.com/office/drawing/2014/chart" uri="{C3380CC4-5D6E-409C-BE32-E72D297353CC}">
              <c16:uniqueId val="{00000000-E3D3-4741-BB99-220B4D249C36}"/>
            </c:ext>
          </c:extLst>
        </c:ser>
        <c:ser>
          <c:idx val="1"/>
          <c:order val="1"/>
          <c:tx>
            <c:strRef>
              <c:f>'High-EE no Stoves Detailed'!$A$14</c:f>
              <c:strCache>
                <c:ptCount val="1"/>
                <c:pt idx="0">
                  <c:v>Marginal NPV (Heating Customers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Detailed'!$B$14:$U$14</c:f>
              <c:numCache>
                <c:formatCode>"$"#,##0.00;[Red]"$"#,##0.00</c:formatCode>
                <c:ptCount val="20"/>
                <c:pt idx="0">
                  <c:v>511955.26876968704</c:v>
                </c:pt>
                <c:pt idx="1">
                  <c:v>511941.3177614361</c:v>
                </c:pt>
                <c:pt idx="2">
                  <c:v>511954.66220411099</c:v>
                </c:pt>
                <c:pt idx="3">
                  <c:v>465034.75256469846</c:v>
                </c:pt>
                <c:pt idx="4">
                  <c:v>465029.65741385892</c:v>
                </c:pt>
                <c:pt idx="5">
                  <c:v>337219.25435496122</c:v>
                </c:pt>
                <c:pt idx="6">
                  <c:v>398193.40970725752</c:v>
                </c:pt>
                <c:pt idx="7">
                  <c:v>398188.9211219959</c:v>
                </c:pt>
                <c:pt idx="8">
                  <c:v>344322.98644367233</c:v>
                </c:pt>
                <c:pt idx="9">
                  <c:v>344321.41058630683</c:v>
                </c:pt>
                <c:pt idx="10">
                  <c:v>164596.39309448097</c:v>
                </c:pt>
                <c:pt idx="11">
                  <c:v>277916.42979122885</c:v>
                </c:pt>
                <c:pt idx="12">
                  <c:v>277918.61342730373</c:v>
                </c:pt>
                <c:pt idx="13">
                  <c:v>112282.65972556733</c:v>
                </c:pt>
                <c:pt idx="14">
                  <c:v>-55341.251995495521</c:v>
                </c:pt>
                <c:pt idx="15">
                  <c:v>-409870.94591213949</c:v>
                </c:pt>
                <c:pt idx="16">
                  <c:v>-405707.47979733534</c:v>
                </c:pt>
                <c:pt idx="17">
                  <c:v>-428185.10166644119</c:v>
                </c:pt>
                <c:pt idx="18">
                  <c:v>-418074.26007732563</c:v>
                </c:pt>
                <c:pt idx="19">
                  <c:v>-460112.65127286781</c:v>
                </c:pt>
              </c:numCache>
            </c:numRef>
          </c:yVal>
          <c:smooth val="1"/>
          <c:extLst>
            <c:ext xmlns:c16="http://schemas.microsoft.com/office/drawing/2014/chart" uri="{C3380CC4-5D6E-409C-BE32-E72D297353CC}">
              <c16:uniqueId val="{00000001-E3D3-4741-BB99-220B4D249C36}"/>
            </c:ext>
          </c:extLst>
        </c:ser>
        <c:ser>
          <c:idx val="2"/>
          <c:order val="2"/>
          <c:tx>
            <c:strRef>
              <c:f>'High-EE no Stoves Detailed'!$A$15</c:f>
              <c:strCache>
                <c:ptCount val="1"/>
                <c:pt idx="0">
                  <c:v>Total Marginal NPV</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Detailed'!$B$15:$U$15</c:f>
              <c:numCache>
                <c:formatCode>"$"#,##0.00;[Red]"$"#,##0.00</c:formatCode>
                <c:ptCount val="20"/>
                <c:pt idx="0">
                  <c:v>2318813.9685766576</c:v>
                </c:pt>
                <c:pt idx="1">
                  <c:v>2205577.3689881722</c:v>
                </c:pt>
                <c:pt idx="2">
                  <c:v>2229719.3555673799</c:v>
                </c:pt>
                <c:pt idx="3">
                  <c:v>2132361.6493849615</c:v>
                </c:pt>
                <c:pt idx="4">
                  <c:v>2057253.1521988055</c:v>
                </c:pt>
                <c:pt idx="5">
                  <c:v>3483725.3412047355</c:v>
                </c:pt>
                <c:pt idx="6">
                  <c:v>1849233.9669906897</c:v>
                </c:pt>
                <c:pt idx="7">
                  <c:v>1712570.3346642861</c:v>
                </c:pt>
                <c:pt idx="8">
                  <c:v>1439982.9256040072</c:v>
                </c:pt>
                <c:pt idx="9">
                  <c:v>1336947.5950996587</c:v>
                </c:pt>
                <c:pt idx="10">
                  <c:v>2266100.8579344228</c:v>
                </c:pt>
                <c:pt idx="11">
                  <c:v>278034.19288219046</c:v>
                </c:pt>
                <c:pt idx="12">
                  <c:v>80707.167612646706</c:v>
                </c:pt>
                <c:pt idx="13">
                  <c:v>886217.55274867173</c:v>
                </c:pt>
                <c:pt idx="14">
                  <c:v>1433475.2437363844</c:v>
                </c:pt>
                <c:pt idx="15">
                  <c:v>4661481.2968909955</c:v>
                </c:pt>
                <c:pt idx="16">
                  <c:v>4565872.8644032655</c:v>
                </c:pt>
                <c:pt idx="17">
                  <c:v>3875375.9449052317</c:v>
                </c:pt>
                <c:pt idx="18">
                  <c:v>3735285.1197641408</c:v>
                </c:pt>
                <c:pt idx="19">
                  <c:v>2339010.0537829716</c:v>
                </c:pt>
              </c:numCache>
            </c:numRef>
          </c:yVal>
          <c:smooth val="1"/>
          <c:extLst>
            <c:ext xmlns:c16="http://schemas.microsoft.com/office/drawing/2014/chart" uri="{C3380CC4-5D6E-409C-BE32-E72D297353CC}">
              <c16:uniqueId val="{00000002-E3D3-4741-BB99-220B4D249C36}"/>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320235580308559"/>
              <c:y val="0.875318080998989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Discount Rate, Nominal</a:t>
            </a:r>
            <a:r>
              <a:rPr lang="en-US" baseline="0"/>
              <a:t> </a:t>
            </a:r>
            <a:r>
              <a:rPr lang="en-US"/>
              <a:t>Fuel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1796793814038741E-2"/>
          <c:w val="0.83095013123359585"/>
          <c:h val="0.63080382199827123"/>
        </c:manualLayout>
      </c:layout>
      <c:scatterChart>
        <c:scatterStyle val="smoothMarker"/>
        <c:varyColors val="0"/>
        <c:ser>
          <c:idx val="0"/>
          <c:order val="0"/>
          <c:tx>
            <c:strRef>
              <c:f>'NPV Plotting'!$A$5</c:f>
              <c:strCache>
                <c:ptCount val="1"/>
                <c:pt idx="0">
                  <c:v>Low EE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Detailed'!$B$15:$P$15</c:f>
              <c:numCache>
                <c:formatCode>"$"#,##0.00;[Red]"$"#,##0.00</c:formatCode>
                <c:ptCount val="15"/>
                <c:pt idx="0">
                  <c:v>1799662.1609470332</c:v>
                </c:pt>
                <c:pt idx="1">
                  <c:v>1184342.7177419355</c:v>
                </c:pt>
                <c:pt idx="2">
                  <c:v>900464.13386652526</c:v>
                </c:pt>
                <c:pt idx="3">
                  <c:v>811873.96501111146</c:v>
                </c:pt>
                <c:pt idx="4">
                  <c:v>1946202.8081079228</c:v>
                </c:pt>
                <c:pt idx="5">
                  <c:v>62822.773595935665</c:v>
                </c:pt>
                <c:pt idx="6">
                  <c:v>-78859.94929885678</c:v>
                </c:pt>
                <c:pt idx="7">
                  <c:v>1044745.8252549767</c:v>
                </c:pt>
                <c:pt idx="8">
                  <c:v>870251.82297366299</c:v>
                </c:pt>
                <c:pt idx="9">
                  <c:v>1745472.5684769908</c:v>
                </c:pt>
                <c:pt idx="10">
                  <c:v>5673132.0448230663</c:v>
                </c:pt>
                <c:pt idx="11">
                  <c:v>5522242.3228886183</c:v>
                </c:pt>
                <c:pt idx="12">
                  <c:v>5234125.2628772166</c:v>
                </c:pt>
                <c:pt idx="13">
                  <c:v>3498154.8851890163</c:v>
                </c:pt>
                <c:pt idx="14">
                  <c:v>4064130.9074594611</c:v>
                </c:pt>
              </c:numCache>
            </c:numRef>
          </c:yVal>
          <c:smooth val="0"/>
          <c:extLst>
            <c:ext xmlns:c16="http://schemas.microsoft.com/office/drawing/2014/chart" uri="{C3380CC4-5D6E-409C-BE32-E72D297353CC}">
              <c16:uniqueId val="{00000000-F25E-433F-9B4E-2068448AF75F}"/>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9525">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Detailed'!$B$15:$O$15</c:f>
              <c:numCache>
                <c:formatCode>"$"#,##0.00;[Red]"$"#,##0.00</c:formatCode>
                <c:ptCount val="14"/>
                <c:pt idx="0">
                  <c:v>2530293.3189135315</c:v>
                </c:pt>
                <c:pt idx="1">
                  <c:v>2390902.7487261547</c:v>
                </c:pt>
                <c:pt idx="2">
                  <c:v>1967586.5778328395</c:v>
                </c:pt>
                <c:pt idx="3">
                  <c:v>1902344.5684255203</c:v>
                </c:pt>
                <c:pt idx="4">
                  <c:v>1611318.048918088</c:v>
                </c:pt>
                <c:pt idx="5">
                  <c:v>1524577.2478402508</c:v>
                </c:pt>
                <c:pt idx="6">
                  <c:v>1488228.1261604577</c:v>
                </c:pt>
                <c:pt idx="7">
                  <c:v>2582356.3061747756</c:v>
                </c:pt>
                <c:pt idx="8">
                  <c:v>670709.34517595079</c:v>
                </c:pt>
                <c:pt idx="9">
                  <c:v>1694429.1491511827</c:v>
                </c:pt>
                <c:pt idx="10">
                  <c:v>2434501.8640744081</c:v>
                </c:pt>
                <c:pt idx="11">
                  <c:v>6278821.326773989</c:v>
                </c:pt>
                <c:pt idx="12">
                  <c:v>5693665.6366318567</c:v>
                </c:pt>
                <c:pt idx="13">
                  <c:v>4659885.3450425277</c:v>
                </c:pt>
              </c:numCache>
            </c:numRef>
          </c:yVal>
          <c:smooth val="0"/>
          <c:extLst>
            <c:ext xmlns:c16="http://schemas.microsoft.com/office/drawing/2014/chart" uri="{C3380CC4-5D6E-409C-BE32-E72D297353CC}">
              <c16:uniqueId val="{00000001-F25E-433F-9B4E-2068448AF75F}"/>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Detailed'!$B$15:$P$15</c:f>
              <c:numCache>
                <c:formatCode>"$"#,##0.00;[Red]"$"#,##0.00</c:formatCode>
                <c:ptCount val="15"/>
                <c:pt idx="0">
                  <c:v>2386785.9806052493</c:v>
                </c:pt>
                <c:pt idx="1">
                  <c:v>2266172.3075577812</c:v>
                </c:pt>
                <c:pt idx="2">
                  <c:v>1894731.1642192928</c:v>
                </c:pt>
                <c:pt idx="3">
                  <c:v>1576697.1911630454</c:v>
                </c:pt>
                <c:pt idx="4">
                  <c:v>2483058.8756215116</c:v>
                </c:pt>
                <c:pt idx="5">
                  <c:v>714537.47897336073</c:v>
                </c:pt>
                <c:pt idx="6">
                  <c:v>589421.15798240341</c:v>
                </c:pt>
                <c:pt idx="7">
                  <c:v>1529955.3583272658</c:v>
                </c:pt>
                <c:pt idx="8">
                  <c:v>1425074.8250988172</c:v>
                </c:pt>
                <c:pt idx="9">
                  <c:v>6554031.3531694384</c:v>
                </c:pt>
                <c:pt idx="10">
                  <c:v>6071023.6129854955</c:v>
                </c:pt>
                <c:pt idx="11">
                  <c:v>5951532.0295867259</c:v>
                </c:pt>
                <c:pt idx="12">
                  <c:v>5595826.2616928732</c:v>
                </c:pt>
                <c:pt idx="13">
                  <c:v>4447011.6145493509</c:v>
                </c:pt>
                <c:pt idx="14">
                  <c:v>4262612.3777059997</c:v>
                </c:pt>
              </c:numCache>
            </c:numRef>
          </c:yVal>
          <c:smooth val="0"/>
          <c:extLst>
            <c:ext xmlns:c16="http://schemas.microsoft.com/office/drawing/2014/chart" uri="{C3380CC4-5D6E-409C-BE32-E72D297353CC}">
              <c16:uniqueId val="{00000002-F25E-433F-9B4E-2068448AF75F}"/>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Detailed'!$B$15:$O$15</c:f>
              <c:numCache>
                <c:formatCode>"$"#,##0.00;[Red]"$"#,##0.00</c:formatCode>
                <c:ptCount val="14"/>
                <c:pt idx="0">
                  <c:v>1644837.3216871051</c:v>
                </c:pt>
                <c:pt idx="1">
                  <c:v>1340952.2272226922</c:v>
                </c:pt>
                <c:pt idx="2">
                  <c:v>1333860.9203382712</c:v>
                </c:pt>
                <c:pt idx="3">
                  <c:v>2998168.2464541597</c:v>
                </c:pt>
                <c:pt idx="4">
                  <c:v>1039564.5711485147</c:v>
                </c:pt>
                <c:pt idx="5">
                  <c:v>900649.79358708486</c:v>
                </c:pt>
                <c:pt idx="6">
                  <c:v>1856126.0796979619</c:v>
                </c:pt>
                <c:pt idx="7">
                  <c:v>-224943.8156383289</c:v>
                </c:pt>
                <c:pt idx="8">
                  <c:v>-402128.69585673604</c:v>
                </c:pt>
                <c:pt idx="9">
                  <c:v>-445464.10084947664</c:v>
                </c:pt>
                <c:pt idx="10">
                  <c:v>577812.90842787083</c:v>
                </c:pt>
                <c:pt idx="11">
                  <c:v>1223492.1966756815</c:v>
                </c:pt>
                <c:pt idx="12">
                  <c:v>1064262.1188876284</c:v>
                </c:pt>
                <c:pt idx="13">
                  <c:v>3764477.7382334638</c:v>
                </c:pt>
              </c:numCache>
            </c:numRef>
          </c:yVal>
          <c:smooth val="0"/>
          <c:extLst>
            <c:ext xmlns:c16="http://schemas.microsoft.com/office/drawing/2014/chart" uri="{C3380CC4-5D6E-409C-BE32-E72D297353CC}">
              <c16:uniqueId val="{00000003-F25E-433F-9B4E-2068448AF75F}"/>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Detailed'!$B$15:$S$15</c:f>
              <c:numCache>
                <c:formatCode>"$"#,##0.00;[Red]"$"#,##0.00</c:formatCode>
                <c:ptCount val="18"/>
                <c:pt idx="0">
                  <c:v>2409610.130849964</c:v>
                </c:pt>
                <c:pt idx="1">
                  <c:v>2223826.2020243881</c:v>
                </c:pt>
                <c:pt idx="2">
                  <c:v>2063148.869065417</c:v>
                </c:pt>
                <c:pt idx="3">
                  <c:v>3426415.902396909</c:v>
                </c:pt>
                <c:pt idx="4">
                  <c:v>3293781.2743716883</c:v>
                </c:pt>
                <c:pt idx="5">
                  <c:v>1841988.3558768788</c:v>
                </c:pt>
                <c:pt idx="6">
                  <c:v>1814786.1117626093</c:v>
                </c:pt>
                <c:pt idx="7">
                  <c:v>1513332.2231704146</c:v>
                </c:pt>
                <c:pt idx="8">
                  <c:v>2275954.7874678271</c:v>
                </c:pt>
                <c:pt idx="9">
                  <c:v>350270.22499514185</c:v>
                </c:pt>
                <c:pt idx="10">
                  <c:v>225484.95930633415</c:v>
                </c:pt>
                <c:pt idx="11">
                  <c:v>185308.45536500495</c:v>
                </c:pt>
                <c:pt idx="12">
                  <c:v>1029093.8963418091</c:v>
                </c:pt>
                <c:pt idx="13">
                  <c:v>1634804.3613106925</c:v>
                </c:pt>
                <c:pt idx="14">
                  <c:v>4799940.1946053002</c:v>
                </c:pt>
                <c:pt idx="15">
                  <c:v>4255890.5521801151</c:v>
                </c:pt>
                <c:pt idx="16">
                  <c:v>3949073.5760645103</c:v>
                </c:pt>
                <c:pt idx="17">
                  <c:v>2623384.9618732287</c:v>
                </c:pt>
              </c:numCache>
            </c:numRef>
          </c:yVal>
          <c:smooth val="0"/>
          <c:extLst>
            <c:ext xmlns:c16="http://schemas.microsoft.com/office/drawing/2014/chart" uri="{C3380CC4-5D6E-409C-BE32-E72D297353CC}">
              <c16:uniqueId val="{00000004-F25E-433F-9B4E-2068448AF75F}"/>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Detailed'!$B$15:$U$15</c:f>
              <c:numCache>
                <c:formatCode>"$"#,##0.00;[Red]"$"#,##0.00</c:formatCode>
                <c:ptCount val="20"/>
                <c:pt idx="0">
                  <c:v>2318813.9685766576</c:v>
                </c:pt>
                <c:pt idx="1">
                  <c:v>2205577.3689881722</c:v>
                </c:pt>
                <c:pt idx="2">
                  <c:v>2229719.3555673799</c:v>
                </c:pt>
                <c:pt idx="3">
                  <c:v>2132361.6493849615</c:v>
                </c:pt>
                <c:pt idx="4">
                  <c:v>2057253.1521988055</c:v>
                </c:pt>
                <c:pt idx="5">
                  <c:v>3483725.3412047355</c:v>
                </c:pt>
                <c:pt idx="6">
                  <c:v>1849233.9669906897</c:v>
                </c:pt>
                <c:pt idx="7">
                  <c:v>1712570.3346642861</c:v>
                </c:pt>
                <c:pt idx="8">
                  <c:v>1439982.9256040072</c:v>
                </c:pt>
                <c:pt idx="9">
                  <c:v>1336947.5950996587</c:v>
                </c:pt>
                <c:pt idx="10">
                  <c:v>2266100.8579344228</c:v>
                </c:pt>
                <c:pt idx="11">
                  <c:v>278034.19288219046</c:v>
                </c:pt>
                <c:pt idx="12">
                  <c:v>80707.167612646706</c:v>
                </c:pt>
                <c:pt idx="13">
                  <c:v>886217.55274867173</c:v>
                </c:pt>
                <c:pt idx="14">
                  <c:v>1433475.2437363844</c:v>
                </c:pt>
                <c:pt idx="15">
                  <c:v>4661481.2968909955</c:v>
                </c:pt>
                <c:pt idx="16">
                  <c:v>4565872.8644032655</c:v>
                </c:pt>
                <c:pt idx="17">
                  <c:v>3875375.9449052317</c:v>
                </c:pt>
                <c:pt idx="18">
                  <c:v>3735285.1197641408</c:v>
                </c:pt>
                <c:pt idx="19">
                  <c:v>2339010.0537829716</c:v>
                </c:pt>
              </c:numCache>
            </c:numRef>
          </c:yVal>
          <c:smooth val="0"/>
          <c:extLst>
            <c:ext xmlns:c16="http://schemas.microsoft.com/office/drawing/2014/chart" uri="{C3380CC4-5D6E-409C-BE32-E72D297353CC}">
              <c16:uniqueId val="{00000005-F25E-433F-9B4E-2068448AF75F}"/>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65564560527495042"/>
          <c:h val="9.728580356190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Run Time</a:t>
            </a:r>
          </a:p>
        </c:rich>
      </c:tx>
      <c:layout>
        <c:manualLayout>
          <c:xMode val="edge"/>
          <c:yMode val="edge"/>
          <c:x val="0.43806873009828529"/>
          <c:y val="1.8115942028985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085468256685305"/>
          <c:w val="0.83095013123359585"/>
          <c:h val="0.62174578721138118"/>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Detailed'!$B$164:$P$164</c:f>
              <c:numCache>
                <c:formatCode>#,##0.00</c:formatCode>
                <c:ptCount val="15"/>
                <c:pt idx="0">
                  <c:v>11191.021200000001</c:v>
                </c:pt>
                <c:pt idx="1">
                  <c:v>10936.179199999999</c:v>
                </c:pt>
                <c:pt idx="2">
                  <c:v>10712.556800000002</c:v>
                </c:pt>
                <c:pt idx="3">
                  <c:v>10628.165599999998</c:v>
                </c:pt>
                <c:pt idx="4">
                  <c:v>9604.0028000000002</c:v>
                </c:pt>
                <c:pt idx="5">
                  <c:v>10681.988000000001</c:v>
                </c:pt>
                <c:pt idx="6">
                  <c:v>10777.982400000001</c:v>
                </c:pt>
                <c:pt idx="7">
                  <c:v>9556.5395999999982</c:v>
                </c:pt>
                <c:pt idx="8">
                  <c:v>9635.4743999999992</c:v>
                </c:pt>
                <c:pt idx="9">
                  <c:v>9701.0120000000006</c:v>
                </c:pt>
                <c:pt idx="10">
                  <c:v>9835.4340000000011</c:v>
                </c:pt>
                <c:pt idx="11">
                  <c:v>9850.3716000000004</c:v>
                </c:pt>
                <c:pt idx="12">
                  <c:v>9743.0499999999993</c:v>
                </c:pt>
                <c:pt idx="13">
                  <c:v>9756.6936000000005</c:v>
                </c:pt>
                <c:pt idx="14">
                  <c:v>9741.5395999999982</c:v>
                </c:pt>
              </c:numCache>
            </c:numRef>
          </c:yVal>
          <c:smooth val="0"/>
          <c:extLst>
            <c:ext xmlns:c16="http://schemas.microsoft.com/office/drawing/2014/chart" uri="{C3380CC4-5D6E-409C-BE32-E72D297353CC}">
              <c16:uniqueId val="{00000000-CF03-4DD9-9365-EBE33F11F3AB}"/>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Detailed'!$B$164:$O$164</c:f>
              <c:numCache>
                <c:formatCode>#,##0.00</c:formatCode>
                <c:ptCount val="14"/>
                <c:pt idx="0">
                  <c:v>10601.6648</c:v>
                </c:pt>
                <c:pt idx="1">
                  <c:v>10825.176399999998</c:v>
                </c:pt>
                <c:pt idx="2">
                  <c:v>10154.824400000001</c:v>
                </c:pt>
                <c:pt idx="3">
                  <c:v>10116.709999999999</c:v>
                </c:pt>
                <c:pt idx="4">
                  <c:v>10242.4244</c:v>
                </c:pt>
                <c:pt idx="5">
                  <c:v>10257.633599999999</c:v>
                </c:pt>
                <c:pt idx="6">
                  <c:v>10256.43</c:v>
                </c:pt>
                <c:pt idx="7">
                  <c:v>9353.1376</c:v>
                </c:pt>
                <c:pt idx="8">
                  <c:v>10541.077600000001</c:v>
                </c:pt>
                <c:pt idx="9">
                  <c:v>9259.779199999999</c:v>
                </c:pt>
                <c:pt idx="10">
                  <c:v>9357.1063999999988</c:v>
                </c:pt>
                <c:pt idx="11">
                  <c:v>9524.7704000000012</c:v>
                </c:pt>
                <c:pt idx="12">
                  <c:v>9500.0936000000002</c:v>
                </c:pt>
                <c:pt idx="13">
                  <c:v>9532.8567999999996</c:v>
                </c:pt>
              </c:numCache>
            </c:numRef>
          </c:yVal>
          <c:smooth val="0"/>
          <c:extLst>
            <c:ext xmlns:c16="http://schemas.microsoft.com/office/drawing/2014/chart" uri="{C3380CC4-5D6E-409C-BE32-E72D297353CC}">
              <c16:uniqueId val="{00000001-CF03-4DD9-9365-EBE33F11F3AB}"/>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Detailed'!$B$164:$P$164</c:f>
              <c:numCache>
                <c:formatCode>#,##0.00</c:formatCode>
                <c:ptCount val="15"/>
                <c:pt idx="0">
                  <c:v>10629.270400000001</c:v>
                </c:pt>
                <c:pt idx="1">
                  <c:v>10627.591999999999</c:v>
                </c:pt>
                <c:pt idx="2">
                  <c:v>9988.9052000000011</c:v>
                </c:pt>
                <c:pt idx="3">
                  <c:v>9884.8376000000007</c:v>
                </c:pt>
                <c:pt idx="4">
                  <c:v>9197.0760000000009</c:v>
                </c:pt>
                <c:pt idx="5">
                  <c:v>9800.5119999999988</c:v>
                </c:pt>
                <c:pt idx="6">
                  <c:v>9857.5964000000004</c:v>
                </c:pt>
                <c:pt idx="7">
                  <c:v>9324.4699999999993</c:v>
                </c:pt>
                <c:pt idx="8">
                  <c:v>9263.3364000000001</c:v>
                </c:pt>
                <c:pt idx="9">
                  <c:v>9251.3696</c:v>
                </c:pt>
                <c:pt idx="10">
                  <c:v>9196.7619999999988</c:v>
                </c:pt>
                <c:pt idx="11">
                  <c:v>9181.1396000000004</c:v>
                </c:pt>
                <c:pt idx="12">
                  <c:v>9196.1819999999989</c:v>
                </c:pt>
                <c:pt idx="13">
                  <c:v>9233.5072</c:v>
                </c:pt>
                <c:pt idx="14">
                  <c:v>9213.9199999999983</c:v>
                </c:pt>
              </c:numCache>
            </c:numRef>
          </c:yVal>
          <c:smooth val="0"/>
          <c:extLst>
            <c:ext xmlns:c16="http://schemas.microsoft.com/office/drawing/2014/chart" uri="{C3380CC4-5D6E-409C-BE32-E72D297353CC}">
              <c16:uniqueId val="{00000002-CF03-4DD9-9365-EBE33F11F3AB}"/>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Detailed'!$B$164:$O$164</c:f>
              <c:numCache>
                <c:formatCode>#,##0.00</c:formatCode>
                <c:ptCount val="14"/>
                <c:pt idx="0">
                  <c:v>11654.371200000001</c:v>
                </c:pt>
                <c:pt idx="1">
                  <c:v>11378.7744</c:v>
                </c:pt>
                <c:pt idx="2">
                  <c:v>11011.4396</c:v>
                </c:pt>
                <c:pt idx="3">
                  <c:v>9776.6947999999993</c:v>
                </c:pt>
                <c:pt idx="4">
                  <c:v>11379.949599999998</c:v>
                </c:pt>
                <c:pt idx="5">
                  <c:v>10477.467199999999</c:v>
                </c:pt>
                <c:pt idx="6">
                  <c:v>9474.6867999999995</c:v>
                </c:pt>
                <c:pt idx="7">
                  <c:v>10397.036400000001</c:v>
                </c:pt>
                <c:pt idx="8">
                  <c:v>10745.613599999999</c:v>
                </c:pt>
                <c:pt idx="9">
                  <c:v>10773.0604</c:v>
                </c:pt>
                <c:pt idx="10">
                  <c:v>9525.9652000000006</c:v>
                </c:pt>
                <c:pt idx="11">
                  <c:v>9567.1803999999993</c:v>
                </c:pt>
                <c:pt idx="12">
                  <c:v>9619.0987999999998</c:v>
                </c:pt>
                <c:pt idx="13">
                  <c:v>9668.3988000000008</c:v>
                </c:pt>
              </c:numCache>
            </c:numRef>
          </c:yVal>
          <c:smooth val="0"/>
          <c:extLst>
            <c:ext xmlns:c16="http://schemas.microsoft.com/office/drawing/2014/chart" uri="{C3380CC4-5D6E-409C-BE32-E72D297353CC}">
              <c16:uniqueId val="{00000003-CF03-4DD9-9365-EBE33F11F3AB}"/>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Detailed'!$B$164:$S$164</c:f>
              <c:numCache>
                <c:formatCode>#,##0.00</c:formatCode>
                <c:ptCount val="18"/>
                <c:pt idx="0">
                  <c:v>10988.3568</c:v>
                </c:pt>
                <c:pt idx="1">
                  <c:v>10261.662</c:v>
                </c:pt>
                <c:pt idx="2">
                  <c:v>10544.390800000001</c:v>
                </c:pt>
                <c:pt idx="3">
                  <c:v>10294.259599999999</c:v>
                </c:pt>
                <c:pt idx="4">
                  <c:v>10419.523999999999</c:v>
                </c:pt>
                <c:pt idx="5">
                  <c:v>10575.108400000001</c:v>
                </c:pt>
                <c:pt idx="6">
                  <c:v>10364.0352</c:v>
                </c:pt>
                <c:pt idx="7">
                  <c:v>10258.638799999999</c:v>
                </c:pt>
                <c:pt idx="8">
                  <c:v>10044.189200000001</c:v>
                </c:pt>
                <c:pt idx="9">
                  <c:v>10217.1204</c:v>
                </c:pt>
                <c:pt idx="10">
                  <c:v>10360.669600000001</c:v>
                </c:pt>
                <c:pt idx="11">
                  <c:v>10385.099600000001</c:v>
                </c:pt>
                <c:pt idx="12">
                  <c:v>9815.7572</c:v>
                </c:pt>
                <c:pt idx="13">
                  <c:v>9613.6044000000002</c:v>
                </c:pt>
                <c:pt idx="14">
                  <c:v>9577.2528000000002</c:v>
                </c:pt>
                <c:pt idx="15">
                  <c:v>9587.9391999999989</c:v>
                </c:pt>
                <c:pt idx="16">
                  <c:v>9703.6876000000011</c:v>
                </c:pt>
                <c:pt idx="17">
                  <c:v>9631.2531999999992</c:v>
                </c:pt>
              </c:numCache>
            </c:numRef>
          </c:yVal>
          <c:smooth val="0"/>
          <c:extLst>
            <c:ext xmlns:c16="http://schemas.microsoft.com/office/drawing/2014/chart" uri="{C3380CC4-5D6E-409C-BE32-E72D297353CC}">
              <c16:uniqueId val="{00000004-CF03-4DD9-9365-EBE33F11F3AB}"/>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Detailed'!$B$164:$U$164</c:f>
              <c:numCache>
                <c:formatCode>#,##0.00</c:formatCode>
                <c:ptCount val="20"/>
                <c:pt idx="0">
                  <c:v>10801.497599999997</c:v>
                </c:pt>
                <c:pt idx="1">
                  <c:v>10906.324000000001</c:v>
                </c:pt>
                <c:pt idx="2">
                  <c:v>10694.5116</c:v>
                </c:pt>
                <c:pt idx="3">
                  <c:v>10110.420399999999</c:v>
                </c:pt>
                <c:pt idx="4">
                  <c:v>9982.1975999999995</c:v>
                </c:pt>
                <c:pt idx="5">
                  <c:v>9510.0435999999991</c:v>
                </c:pt>
                <c:pt idx="6">
                  <c:v>10080.855600000001</c:v>
                </c:pt>
                <c:pt idx="7">
                  <c:v>10127.472400000001</c:v>
                </c:pt>
                <c:pt idx="8">
                  <c:v>9988.6024000000016</c:v>
                </c:pt>
                <c:pt idx="9">
                  <c:v>9963.9503999999997</c:v>
                </c:pt>
                <c:pt idx="10">
                  <c:v>9310.4227999999985</c:v>
                </c:pt>
                <c:pt idx="11">
                  <c:v>9799.9755999999998</c:v>
                </c:pt>
                <c:pt idx="12">
                  <c:v>10084.665199999999</c:v>
                </c:pt>
                <c:pt idx="13">
                  <c:v>9386.6320000000014</c:v>
                </c:pt>
                <c:pt idx="14">
                  <c:v>9248.4691999999995</c:v>
                </c:pt>
                <c:pt idx="15">
                  <c:v>9228.6923999999981</c:v>
                </c:pt>
                <c:pt idx="16">
                  <c:v>9210.3756000000012</c:v>
                </c:pt>
                <c:pt idx="17">
                  <c:v>9253.5275999999994</c:v>
                </c:pt>
                <c:pt idx="18">
                  <c:v>9219.4419999999991</c:v>
                </c:pt>
                <c:pt idx="19">
                  <c:v>9274.3751999999986</c:v>
                </c:pt>
              </c:numCache>
            </c:numRef>
          </c:yVal>
          <c:smooth val="0"/>
          <c:extLst>
            <c:ext xmlns:c16="http://schemas.microsoft.com/office/drawing/2014/chart" uri="{C3380CC4-5D6E-409C-BE32-E72D297353CC}">
              <c16:uniqueId val="{00000005-CF03-4DD9-9365-EBE33F11F3AB}"/>
            </c:ext>
          </c:extLst>
        </c:ser>
        <c:ser>
          <c:idx val="6"/>
          <c:order val="6"/>
          <c:tx>
            <c:v>Baseline</c:v>
          </c:tx>
          <c:spPr>
            <a:ln w="28575" cap="rnd">
              <a:noFill/>
              <a:round/>
            </a:ln>
            <a:effectLst/>
          </c:spPr>
          <c:marker>
            <c:symbol val="circle"/>
            <c:size val="5"/>
            <c:spPr>
              <a:solidFill>
                <a:schemeClr val="accent1">
                  <a:lumMod val="60000"/>
                </a:schemeClr>
              </a:solidFill>
              <a:ln w="9525">
                <a:solidFill>
                  <a:schemeClr val="accent1">
                    <a:lumMod val="60000"/>
                  </a:schemeClr>
                </a:solidFill>
              </a:ln>
              <a:effectLst/>
              <a:scene3d>
                <a:camera prst="orthographicFront"/>
                <a:lightRig rig="threePt" dir="t"/>
              </a:scene3d>
              <a:sp3d>
                <a:bevelT/>
              </a:sp3d>
            </c:spPr>
          </c:marker>
          <c:xVal>
            <c:numLit>
              <c:formatCode>General</c:formatCode>
              <c:ptCount val="1"/>
              <c:pt idx="0">
                <c:v>0</c:v>
              </c:pt>
            </c:numLit>
          </c:xVal>
          <c:yVal>
            <c:numRef>
              <c:f>'NO-EE Detailed'!$B$144</c:f>
              <c:numCache>
                <c:formatCode>#,##0.00</c:formatCode>
                <c:ptCount val="1"/>
                <c:pt idx="0">
                  <c:v>9881.4047999999984</c:v>
                </c:pt>
              </c:numCache>
            </c:numRef>
          </c:yVal>
          <c:smooth val="1"/>
          <c:extLst>
            <c:ext xmlns:c16="http://schemas.microsoft.com/office/drawing/2014/chart" uri="{C3380CC4-5D6E-409C-BE32-E72D297353CC}">
              <c16:uniqueId val="{00000006-CF03-4DD9-9365-EBE33F11F3AB}"/>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Generator  Run Time (hours/year)</a:t>
                </a:r>
              </a:p>
            </c:rich>
          </c:tx>
          <c:layout>
            <c:manualLayout>
              <c:xMode val="edge"/>
              <c:yMode val="edge"/>
              <c:x val="3.4864767294103836E-2"/>
              <c:y val="0.24064532694282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82999090304819545"/>
          <c:h val="9.73739016318612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JD 6619 Run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085468256685305"/>
          <c:w val="0.83095013123359585"/>
          <c:h val="0.62174578721138118"/>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Detailed'!$B$160:$P$160</c:f>
              <c:numCache>
                <c:formatCode>#,##0.00</c:formatCode>
                <c:ptCount val="15"/>
                <c:pt idx="0">
                  <c:v>3298.1487999999999</c:v>
                </c:pt>
                <c:pt idx="1">
                  <c:v>3694.8136</c:v>
                </c:pt>
                <c:pt idx="2">
                  <c:v>3597.4812000000002</c:v>
                </c:pt>
                <c:pt idx="3">
                  <c:v>3570.9748</c:v>
                </c:pt>
                <c:pt idx="4">
                  <c:v>2863.5947999999999</c:v>
                </c:pt>
                <c:pt idx="5">
                  <c:v>3496.7844</c:v>
                </c:pt>
                <c:pt idx="6">
                  <c:v>3377.0403999999999</c:v>
                </c:pt>
                <c:pt idx="7">
                  <c:v>2864.9371999999998</c:v>
                </c:pt>
                <c:pt idx="8">
                  <c:v>2847.5140000000001</c:v>
                </c:pt>
                <c:pt idx="9">
                  <c:v>2838.5084000000002</c:v>
                </c:pt>
                <c:pt idx="10">
                  <c:v>3003.6788000000001</c:v>
                </c:pt>
                <c:pt idx="11">
                  <c:v>3022.8779999999997</c:v>
                </c:pt>
                <c:pt idx="12">
                  <c:v>2844.5888</c:v>
                </c:pt>
                <c:pt idx="13">
                  <c:v>2870.3596000000002</c:v>
                </c:pt>
                <c:pt idx="14">
                  <c:v>2881.5412000000001</c:v>
                </c:pt>
              </c:numCache>
            </c:numRef>
          </c:yVal>
          <c:smooth val="0"/>
          <c:extLst>
            <c:ext xmlns:c16="http://schemas.microsoft.com/office/drawing/2014/chart" uri="{C3380CC4-5D6E-409C-BE32-E72D297353CC}">
              <c16:uniqueId val="{00000000-6011-489F-8D72-B333C89CABA6}"/>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Detailed'!$B$160:$O$160</c:f>
              <c:numCache>
                <c:formatCode>#,##0.00</c:formatCode>
                <c:ptCount val="14"/>
                <c:pt idx="0">
                  <c:v>3322.3355999999999</c:v>
                </c:pt>
                <c:pt idx="1">
                  <c:v>3226.9240000000004</c:v>
                </c:pt>
                <c:pt idx="2">
                  <c:v>3669.0508</c:v>
                </c:pt>
                <c:pt idx="3">
                  <c:v>3681.3103999999998</c:v>
                </c:pt>
                <c:pt idx="4">
                  <c:v>3528.7152000000001</c:v>
                </c:pt>
                <c:pt idx="5">
                  <c:v>3602.9675999999999</c:v>
                </c:pt>
                <c:pt idx="6">
                  <c:v>3553.7323999999999</c:v>
                </c:pt>
                <c:pt idx="7">
                  <c:v>3062.6635999999999</c:v>
                </c:pt>
                <c:pt idx="8">
                  <c:v>3558.0184000000004</c:v>
                </c:pt>
                <c:pt idx="9">
                  <c:v>3032.0659999999998</c:v>
                </c:pt>
                <c:pt idx="10">
                  <c:v>3114.0468000000001</c:v>
                </c:pt>
                <c:pt idx="11">
                  <c:v>3243.7620000000002</c:v>
                </c:pt>
                <c:pt idx="12">
                  <c:v>3261.1743999999999</c:v>
                </c:pt>
                <c:pt idx="13">
                  <c:v>3230.3344000000002</c:v>
                </c:pt>
              </c:numCache>
            </c:numRef>
          </c:yVal>
          <c:smooth val="0"/>
          <c:extLst>
            <c:ext xmlns:c16="http://schemas.microsoft.com/office/drawing/2014/chart" uri="{C3380CC4-5D6E-409C-BE32-E72D297353CC}">
              <c16:uniqueId val="{00000001-6011-489F-8D72-B333C89CABA6}"/>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Detailed'!$B$160:$P$160</c:f>
              <c:numCache>
                <c:formatCode>#,##0.00</c:formatCode>
                <c:ptCount val="15"/>
                <c:pt idx="0">
                  <c:v>3359.3119999999999</c:v>
                </c:pt>
                <c:pt idx="1">
                  <c:v>3344.7556</c:v>
                </c:pt>
                <c:pt idx="2">
                  <c:v>3701.7540000000004</c:v>
                </c:pt>
                <c:pt idx="3">
                  <c:v>3588.6668</c:v>
                </c:pt>
                <c:pt idx="4">
                  <c:v>3378.2971999999995</c:v>
                </c:pt>
                <c:pt idx="5">
                  <c:v>3582.5164</c:v>
                </c:pt>
                <c:pt idx="6">
                  <c:v>3626.1732000000002</c:v>
                </c:pt>
                <c:pt idx="7">
                  <c:v>3332.6288</c:v>
                </c:pt>
                <c:pt idx="8">
                  <c:v>3292.8288000000002</c:v>
                </c:pt>
                <c:pt idx="9">
                  <c:v>3451.3368</c:v>
                </c:pt>
                <c:pt idx="10">
                  <c:v>3343.1708000000003</c:v>
                </c:pt>
                <c:pt idx="11">
                  <c:v>3423.9967999999999</c:v>
                </c:pt>
                <c:pt idx="12">
                  <c:v>3379.998</c:v>
                </c:pt>
                <c:pt idx="13">
                  <c:v>3437.9059999999999</c:v>
                </c:pt>
                <c:pt idx="14">
                  <c:v>3396.6304</c:v>
                </c:pt>
              </c:numCache>
            </c:numRef>
          </c:yVal>
          <c:smooth val="0"/>
          <c:extLst>
            <c:ext xmlns:c16="http://schemas.microsoft.com/office/drawing/2014/chart" uri="{C3380CC4-5D6E-409C-BE32-E72D297353CC}">
              <c16:uniqueId val="{00000002-6011-489F-8D72-B333C89CABA6}"/>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Detailed'!$B$160:$O$160</c:f>
              <c:numCache>
                <c:formatCode>#,##0.00</c:formatCode>
                <c:ptCount val="14"/>
                <c:pt idx="0">
                  <c:v>3385.4064000000003</c:v>
                </c:pt>
                <c:pt idx="1">
                  <c:v>3769.17</c:v>
                </c:pt>
                <c:pt idx="2">
                  <c:v>3660.6767999999997</c:v>
                </c:pt>
                <c:pt idx="3">
                  <c:v>3398.1732000000002</c:v>
                </c:pt>
                <c:pt idx="4">
                  <c:v>3686.0812000000001</c:v>
                </c:pt>
                <c:pt idx="5">
                  <c:v>3425.4836</c:v>
                </c:pt>
                <c:pt idx="6">
                  <c:v>2694.7168000000001</c:v>
                </c:pt>
                <c:pt idx="7">
                  <c:v>3422.9023999999999</c:v>
                </c:pt>
                <c:pt idx="8">
                  <c:v>3486.2215999999999</c:v>
                </c:pt>
                <c:pt idx="9">
                  <c:v>3466.6864</c:v>
                </c:pt>
                <c:pt idx="10">
                  <c:v>2736.0315999999998</c:v>
                </c:pt>
                <c:pt idx="11">
                  <c:v>2648.5244000000002</c:v>
                </c:pt>
                <c:pt idx="12">
                  <c:v>2691.7847999999999</c:v>
                </c:pt>
                <c:pt idx="13">
                  <c:v>2844.6191999999996</c:v>
                </c:pt>
              </c:numCache>
            </c:numRef>
          </c:yVal>
          <c:smooth val="0"/>
          <c:extLst>
            <c:ext xmlns:c16="http://schemas.microsoft.com/office/drawing/2014/chart" uri="{C3380CC4-5D6E-409C-BE32-E72D297353CC}">
              <c16:uniqueId val="{00000003-6011-489F-8D72-B333C89CABA6}"/>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Detailed'!$B$160:$S$160</c:f>
              <c:numCache>
                <c:formatCode>#,##0.00</c:formatCode>
                <c:ptCount val="18"/>
                <c:pt idx="0">
                  <c:v>3235.3176000000003</c:v>
                </c:pt>
                <c:pt idx="1">
                  <c:v>3719.6540000000005</c:v>
                </c:pt>
                <c:pt idx="2">
                  <c:v>3755.2528000000002</c:v>
                </c:pt>
                <c:pt idx="3">
                  <c:v>3633.53</c:v>
                </c:pt>
                <c:pt idx="4">
                  <c:v>3684.636</c:v>
                </c:pt>
                <c:pt idx="5">
                  <c:v>3610.1212</c:v>
                </c:pt>
                <c:pt idx="6">
                  <c:v>3649.8215999999998</c:v>
                </c:pt>
                <c:pt idx="7">
                  <c:v>3681.3608000000004</c:v>
                </c:pt>
                <c:pt idx="8">
                  <c:v>3067.6124</c:v>
                </c:pt>
                <c:pt idx="9">
                  <c:v>3504.3188</c:v>
                </c:pt>
                <c:pt idx="10">
                  <c:v>3516.3516</c:v>
                </c:pt>
                <c:pt idx="11">
                  <c:v>3555.8596000000002</c:v>
                </c:pt>
                <c:pt idx="12">
                  <c:v>3004.1352000000002</c:v>
                </c:pt>
                <c:pt idx="13">
                  <c:v>3088.6511999999998</c:v>
                </c:pt>
                <c:pt idx="14">
                  <c:v>3285.0347999999999</c:v>
                </c:pt>
                <c:pt idx="15">
                  <c:v>3251.6247999999996</c:v>
                </c:pt>
                <c:pt idx="16">
                  <c:v>3256.2808</c:v>
                </c:pt>
                <c:pt idx="17">
                  <c:v>3262.9692</c:v>
                </c:pt>
              </c:numCache>
            </c:numRef>
          </c:yVal>
          <c:smooth val="0"/>
          <c:extLst>
            <c:ext xmlns:c16="http://schemas.microsoft.com/office/drawing/2014/chart" uri="{C3380CC4-5D6E-409C-BE32-E72D297353CC}">
              <c16:uniqueId val="{00000004-6011-489F-8D72-B333C89CABA6}"/>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Detailed'!$B$160:$U$160</c:f>
              <c:numCache>
                <c:formatCode>#,##0.00</c:formatCode>
                <c:ptCount val="20"/>
                <c:pt idx="0">
                  <c:v>3305.6880000000001</c:v>
                </c:pt>
                <c:pt idx="1">
                  <c:v>3279.6752000000001</c:v>
                </c:pt>
                <c:pt idx="2">
                  <c:v>3408.1756</c:v>
                </c:pt>
                <c:pt idx="3">
                  <c:v>3844.2196000000004</c:v>
                </c:pt>
                <c:pt idx="4">
                  <c:v>3857.0547999999999</c:v>
                </c:pt>
                <c:pt idx="5">
                  <c:v>4023.3271999999997</c:v>
                </c:pt>
                <c:pt idx="6">
                  <c:v>3785.6132000000002</c:v>
                </c:pt>
                <c:pt idx="7">
                  <c:v>3620.1976</c:v>
                </c:pt>
                <c:pt idx="8">
                  <c:v>3629.1091999999999</c:v>
                </c:pt>
                <c:pt idx="9">
                  <c:v>3671.1559999999999</c:v>
                </c:pt>
                <c:pt idx="10">
                  <c:v>3431.0984000000003</c:v>
                </c:pt>
                <c:pt idx="11">
                  <c:v>3582.5228000000002</c:v>
                </c:pt>
                <c:pt idx="12">
                  <c:v>3582.4267999999997</c:v>
                </c:pt>
                <c:pt idx="13">
                  <c:v>3286.9335999999998</c:v>
                </c:pt>
                <c:pt idx="14">
                  <c:v>3347.45</c:v>
                </c:pt>
                <c:pt idx="15">
                  <c:v>3464.6820000000002</c:v>
                </c:pt>
                <c:pt idx="16">
                  <c:v>3398.6732000000002</c:v>
                </c:pt>
                <c:pt idx="17">
                  <c:v>3434.2687999999998</c:v>
                </c:pt>
                <c:pt idx="18">
                  <c:v>3437.9515999999999</c:v>
                </c:pt>
                <c:pt idx="19">
                  <c:v>3460.5603999999998</c:v>
                </c:pt>
              </c:numCache>
            </c:numRef>
          </c:yVal>
          <c:smooth val="0"/>
          <c:extLst>
            <c:ext xmlns:c16="http://schemas.microsoft.com/office/drawing/2014/chart" uri="{C3380CC4-5D6E-409C-BE32-E72D297353CC}">
              <c16:uniqueId val="{00000005-6011-489F-8D72-B333C89CABA6}"/>
            </c:ext>
          </c:extLst>
        </c:ser>
        <c:ser>
          <c:idx val="6"/>
          <c:order val="6"/>
          <c:tx>
            <c:v>Baseline</c:v>
          </c:tx>
          <c:spPr>
            <a:ln w="28575" cap="rnd">
              <a:noFill/>
              <a:round/>
            </a:ln>
            <a:effectLst/>
          </c:spPr>
          <c:marker>
            <c:symbol val="circle"/>
            <c:size val="5"/>
            <c:spPr>
              <a:solidFill>
                <a:schemeClr val="accent1">
                  <a:lumMod val="60000"/>
                </a:schemeClr>
              </a:solidFill>
              <a:ln w="9525">
                <a:solidFill>
                  <a:schemeClr val="accent1">
                    <a:lumMod val="60000"/>
                  </a:schemeClr>
                </a:solidFill>
              </a:ln>
              <a:effectLst/>
              <a:scene3d>
                <a:camera prst="orthographicFront"/>
                <a:lightRig rig="threePt" dir="t"/>
              </a:scene3d>
              <a:sp3d>
                <a:bevelT/>
              </a:sp3d>
            </c:spPr>
          </c:marker>
          <c:xVal>
            <c:numLit>
              <c:formatCode>General</c:formatCode>
              <c:ptCount val="1"/>
              <c:pt idx="0">
                <c:v>0</c:v>
              </c:pt>
            </c:numLit>
          </c:xVal>
          <c:yVal>
            <c:numRef>
              <c:f>'NO-EE Detailed'!$B$140</c:f>
              <c:numCache>
                <c:formatCode>#,##0.00</c:formatCode>
                <c:ptCount val="1"/>
                <c:pt idx="0">
                  <c:v>2369.8720000000003</c:v>
                </c:pt>
              </c:numCache>
            </c:numRef>
          </c:yVal>
          <c:smooth val="1"/>
          <c:extLst>
            <c:ext xmlns:c16="http://schemas.microsoft.com/office/drawing/2014/chart" uri="{C3380CC4-5D6E-409C-BE32-E72D297353CC}">
              <c16:uniqueId val="{00000006-6011-489F-8D72-B333C89CABA6}"/>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Generator  Run Time (hours/year)</a:t>
                </a:r>
              </a:p>
            </c:rich>
          </c:tx>
          <c:layout>
            <c:manualLayout>
              <c:xMode val="edge"/>
              <c:yMode val="edge"/>
              <c:x val="3.4864767294103836E-2"/>
              <c:y val="0.24064532694282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82999090304819545"/>
          <c:h val="9.73739016318612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 3406 Run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7835358895355468E-2"/>
          <c:w val="0.83095013123359585"/>
          <c:h val="0.62476511088287878"/>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Detailed'!$B$161:$P$161</c:f>
              <c:numCache>
                <c:formatCode>#,##0.00</c:formatCode>
                <c:ptCount val="15"/>
                <c:pt idx="0">
                  <c:v>7007.4183999999996</c:v>
                </c:pt>
                <c:pt idx="1">
                  <c:v>6113.3472000000002</c:v>
                </c:pt>
                <c:pt idx="2">
                  <c:v>6123.7860000000001</c:v>
                </c:pt>
                <c:pt idx="3">
                  <c:v>6044.3683999999994</c:v>
                </c:pt>
                <c:pt idx="4">
                  <c:v>5290.6780000000008</c:v>
                </c:pt>
                <c:pt idx="5">
                  <c:v>6300.4564</c:v>
                </c:pt>
                <c:pt idx="6">
                  <c:v>6168.7219999999998</c:v>
                </c:pt>
                <c:pt idx="7">
                  <c:v>5174.8396000000002</c:v>
                </c:pt>
                <c:pt idx="8">
                  <c:v>5333.4507999999996</c:v>
                </c:pt>
                <c:pt idx="9">
                  <c:v>4671.0544</c:v>
                </c:pt>
                <c:pt idx="10">
                  <c:v>4690.9540000000006</c:v>
                </c:pt>
                <c:pt idx="11">
                  <c:v>4745.5727999999999</c:v>
                </c:pt>
                <c:pt idx="12">
                  <c:v>4480.9828000000007</c:v>
                </c:pt>
                <c:pt idx="13">
                  <c:v>4469.4920000000002</c:v>
                </c:pt>
                <c:pt idx="14">
                  <c:v>4417.2879999999996</c:v>
                </c:pt>
              </c:numCache>
            </c:numRef>
          </c:yVal>
          <c:smooth val="0"/>
          <c:extLst>
            <c:ext xmlns:c16="http://schemas.microsoft.com/office/drawing/2014/chart" uri="{C3380CC4-5D6E-409C-BE32-E72D297353CC}">
              <c16:uniqueId val="{00000000-FE9C-403E-A4B8-FE5AA2AD49AD}"/>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Detailed'!$B$161:$O$161</c:f>
              <c:numCache>
                <c:formatCode>#,##0.00</c:formatCode>
                <c:ptCount val="14"/>
                <c:pt idx="0">
                  <c:v>6685.1131999999998</c:v>
                </c:pt>
                <c:pt idx="1">
                  <c:v>6786.7443999999996</c:v>
                </c:pt>
                <c:pt idx="2">
                  <c:v>6090.5352000000003</c:v>
                </c:pt>
                <c:pt idx="3">
                  <c:v>6034.9971999999998</c:v>
                </c:pt>
                <c:pt idx="4">
                  <c:v>6242.7016000000003</c:v>
                </c:pt>
                <c:pt idx="5">
                  <c:v>6292.4384</c:v>
                </c:pt>
                <c:pt idx="6">
                  <c:v>6248.4823999999999</c:v>
                </c:pt>
                <c:pt idx="7">
                  <c:v>5765.9304000000002</c:v>
                </c:pt>
                <c:pt idx="8">
                  <c:v>6497.5</c:v>
                </c:pt>
                <c:pt idx="9">
                  <c:v>5653.9376000000002</c:v>
                </c:pt>
                <c:pt idx="10">
                  <c:v>4976.6415999999999</c:v>
                </c:pt>
                <c:pt idx="11">
                  <c:v>5013.62</c:v>
                </c:pt>
                <c:pt idx="12">
                  <c:v>4993.5879999999997</c:v>
                </c:pt>
                <c:pt idx="13">
                  <c:v>5044.4803999999995</c:v>
                </c:pt>
              </c:numCache>
            </c:numRef>
          </c:yVal>
          <c:smooth val="0"/>
          <c:extLst>
            <c:ext xmlns:c16="http://schemas.microsoft.com/office/drawing/2014/chart" uri="{C3380CC4-5D6E-409C-BE32-E72D297353CC}">
              <c16:uniqueId val="{00000001-FE9C-403E-A4B8-FE5AA2AD49AD}"/>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Detailed'!$B$161:$P$161</c:f>
              <c:numCache>
                <c:formatCode>#,##0.00</c:formatCode>
                <c:ptCount val="15"/>
                <c:pt idx="0">
                  <c:v>6893.3907999999992</c:v>
                </c:pt>
                <c:pt idx="1">
                  <c:v>6819.4519999999993</c:v>
                </c:pt>
                <c:pt idx="2">
                  <c:v>6055.1540000000005</c:v>
                </c:pt>
                <c:pt idx="3">
                  <c:v>5926.1239999999998</c:v>
                </c:pt>
                <c:pt idx="4">
                  <c:v>5561.6180000000004</c:v>
                </c:pt>
                <c:pt idx="5">
                  <c:v>5883.0343999999996</c:v>
                </c:pt>
                <c:pt idx="6">
                  <c:v>5907.7988000000005</c:v>
                </c:pt>
                <c:pt idx="7">
                  <c:v>5701.3423999999995</c:v>
                </c:pt>
                <c:pt idx="8">
                  <c:v>5679.134</c:v>
                </c:pt>
                <c:pt idx="9">
                  <c:v>4944.5847999999996</c:v>
                </c:pt>
                <c:pt idx="10">
                  <c:v>4939.3760000000002</c:v>
                </c:pt>
                <c:pt idx="11">
                  <c:v>4902.3123999999998</c:v>
                </c:pt>
                <c:pt idx="12">
                  <c:v>4927.3091999999997</c:v>
                </c:pt>
                <c:pt idx="13">
                  <c:v>4882.2520000000004</c:v>
                </c:pt>
                <c:pt idx="14">
                  <c:v>4961.1635999999999</c:v>
                </c:pt>
              </c:numCache>
            </c:numRef>
          </c:yVal>
          <c:smooth val="0"/>
          <c:extLst>
            <c:ext xmlns:c16="http://schemas.microsoft.com/office/drawing/2014/chart" uri="{C3380CC4-5D6E-409C-BE32-E72D297353CC}">
              <c16:uniqueId val="{00000002-FE9C-403E-A4B8-FE5AA2AD49AD}"/>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Detailed'!$B$161:$O$161</c:f>
              <c:numCache>
                <c:formatCode>#,##0.00</c:formatCode>
                <c:ptCount val="14"/>
                <c:pt idx="0">
                  <c:v>7548.78</c:v>
                </c:pt>
                <c:pt idx="1">
                  <c:v>7183.61</c:v>
                </c:pt>
                <c:pt idx="2">
                  <c:v>6604.97</c:v>
                </c:pt>
                <c:pt idx="3">
                  <c:v>5016.3932000000004</c:v>
                </c:pt>
                <c:pt idx="4">
                  <c:v>6862.4975999999997</c:v>
                </c:pt>
                <c:pt idx="5">
                  <c:v>5756.5947999999999</c:v>
                </c:pt>
                <c:pt idx="6">
                  <c:v>5027.0835999999999</c:v>
                </c:pt>
                <c:pt idx="7">
                  <c:v>5909.3831999999993</c:v>
                </c:pt>
                <c:pt idx="8">
                  <c:v>6247.0075999999999</c:v>
                </c:pt>
                <c:pt idx="9">
                  <c:v>6221.5248000000001</c:v>
                </c:pt>
                <c:pt idx="10">
                  <c:v>5207.2835999999998</c:v>
                </c:pt>
                <c:pt idx="11">
                  <c:v>4473.2352000000001</c:v>
                </c:pt>
                <c:pt idx="12">
                  <c:v>4531.3171999999995</c:v>
                </c:pt>
                <c:pt idx="13">
                  <c:v>4394.8692000000001</c:v>
                </c:pt>
              </c:numCache>
            </c:numRef>
          </c:yVal>
          <c:smooth val="0"/>
          <c:extLst>
            <c:ext xmlns:c16="http://schemas.microsoft.com/office/drawing/2014/chart" uri="{C3380CC4-5D6E-409C-BE32-E72D297353CC}">
              <c16:uniqueId val="{00000003-FE9C-403E-A4B8-FE5AA2AD49AD}"/>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Detailed'!$B$161:$S$161</c:f>
              <c:numCache>
                <c:formatCode>#,##0.00</c:formatCode>
                <c:ptCount val="18"/>
                <c:pt idx="0">
                  <c:v>6904.6819999999998</c:v>
                </c:pt>
                <c:pt idx="1">
                  <c:v>6252.5212000000001</c:v>
                </c:pt>
                <c:pt idx="2">
                  <c:v>6491.1616000000004</c:v>
                </c:pt>
                <c:pt idx="3">
                  <c:v>6361.0119999999997</c:v>
                </c:pt>
                <c:pt idx="4">
                  <c:v>6504.6280000000006</c:v>
                </c:pt>
                <c:pt idx="5">
                  <c:v>6480.3487999999998</c:v>
                </c:pt>
                <c:pt idx="6">
                  <c:v>6258.3159999999998</c:v>
                </c:pt>
                <c:pt idx="7">
                  <c:v>6187.5340000000006</c:v>
                </c:pt>
                <c:pt idx="8">
                  <c:v>6606.3240000000005</c:v>
                </c:pt>
                <c:pt idx="9">
                  <c:v>6315.49</c:v>
                </c:pt>
                <c:pt idx="10">
                  <c:v>6295.4459999999999</c:v>
                </c:pt>
                <c:pt idx="11">
                  <c:v>6350.0212000000001</c:v>
                </c:pt>
                <c:pt idx="12">
                  <c:v>6359.0771999999997</c:v>
                </c:pt>
                <c:pt idx="13">
                  <c:v>5426.3011999999999</c:v>
                </c:pt>
                <c:pt idx="14">
                  <c:v>5250.9168000000009</c:v>
                </c:pt>
                <c:pt idx="15">
                  <c:v>5345.3743999999997</c:v>
                </c:pt>
                <c:pt idx="16">
                  <c:v>5363.8904000000002</c:v>
                </c:pt>
                <c:pt idx="17">
                  <c:v>5308.3231999999998</c:v>
                </c:pt>
              </c:numCache>
            </c:numRef>
          </c:yVal>
          <c:smooth val="0"/>
          <c:extLst>
            <c:ext xmlns:c16="http://schemas.microsoft.com/office/drawing/2014/chart" uri="{C3380CC4-5D6E-409C-BE32-E72D297353CC}">
              <c16:uniqueId val="{00000004-FE9C-403E-A4B8-FE5AA2AD49AD}"/>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Detailed'!$B$161:$U$161</c:f>
              <c:numCache>
                <c:formatCode>#,##0.00</c:formatCode>
                <c:ptCount val="20"/>
                <c:pt idx="0">
                  <c:v>7131.6415999999999</c:v>
                </c:pt>
                <c:pt idx="1">
                  <c:v>7312.9264000000003</c:v>
                </c:pt>
                <c:pt idx="2">
                  <c:v>6926.8771999999999</c:v>
                </c:pt>
                <c:pt idx="3">
                  <c:v>5995.5571999999993</c:v>
                </c:pt>
                <c:pt idx="4">
                  <c:v>5945.06</c:v>
                </c:pt>
                <c:pt idx="5">
                  <c:v>5293.7812000000004</c:v>
                </c:pt>
                <c:pt idx="6">
                  <c:v>6124.6404000000002</c:v>
                </c:pt>
                <c:pt idx="7">
                  <c:v>6207.8616000000002</c:v>
                </c:pt>
                <c:pt idx="8">
                  <c:v>6084.1068000000005</c:v>
                </c:pt>
                <c:pt idx="9">
                  <c:v>6031.2356000000009</c:v>
                </c:pt>
                <c:pt idx="10">
                  <c:v>5551.6736000000001</c:v>
                </c:pt>
                <c:pt idx="11">
                  <c:v>5868.3716000000004</c:v>
                </c:pt>
                <c:pt idx="12">
                  <c:v>6074.6395999999995</c:v>
                </c:pt>
                <c:pt idx="13">
                  <c:v>5720.3040000000001</c:v>
                </c:pt>
                <c:pt idx="14">
                  <c:v>5166.1364000000003</c:v>
                </c:pt>
                <c:pt idx="15">
                  <c:v>5002.5923999999995</c:v>
                </c:pt>
                <c:pt idx="16">
                  <c:v>5073.2348000000002</c:v>
                </c:pt>
                <c:pt idx="17">
                  <c:v>4987.4940000000006</c:v>
                </c:pt>
                <c:pt idx="18">
                  <c:v>5001.348</c:v>
                </c:pt>
                <c:pt idx="19">
                  <c:v>5095.2687999999998</c:v>
                </c:pt>
              </c:numCache>
            </c:numRef>
          </c:yVal>
          <c:smooth val="0"/>
          <c:extLst>
            <c:ext xmlns:c16="http://schemas.microsoft.com/office/drawing/2014/chart" uri="{C3380CC4-5D6E-409C-BE32-E72D297353CC}">
              <c16:uniqueId val="{00000005-FE9C-403E-A4B8-FE5AA2AD49AD}"/>
            </c:ext>
          </c:extLst>
        </c:ser>
        <c:ser>
          <c:idx val="6"/>
          <c:order val="6"/>
          <c:tx>
            <c:v>Baseline</c:v>
          </c:tx>
          <c:spPr>
            <a:ln w="28575" cap="rnd">
              <a:noFill/>
              <a:round/>
            </a:ln>
            <a:effectLst/>
          </c:spPr>
          <c:marker>
            <c:symbol val="circle"/>
            <c:size val="5"/>
            <c:spPr>
              <a:solidFill>
                <a:schemeClr val="accent1">
                  <a:lumMod val="60000"/>
                </a:schemeClr>
              </a:solidFill>
              <a:ln w="9525">
                <a:solidFill>
                  <a:schemeClr val="accent1">
                    <a:lumMod val="60000"/>
                  </a:schemeClr>
                </a:solidFill>
              </a:ln>
              <a:effectLst/>
              <a:scene3d>
                <a:camera prst="orthographicFront"/>
                <a:lightRig rig="threePt" dir="t"/>
              </a:scene3d>
              <a:sp3d>
                <a:bevelT/>
              </a:sp3d>
            </c:spPr>
          </c:marker>
          <c:xVal>
            <c:numLit>
              <c:formatCode>General</c:formatCode>
              <c:ptCount val="1"/>
              <c:pt idx="0">
                <c:v>0</c:v>
              </c:pt>
            </c:numLit>
          </c:xVal>
          <c:yVal>
            <c:numRef>
              <c:f>'NO-EE Detailed'!$B$141</c:f>
              <c:numCache>
                <c:formatCode>#,##0.00</c:formatCode>
                <c:ptCount val="1"/>
                <c:pt idx="0">
                  <c:v>3295.62</c:v>
                </c:pt>
              </c:numCache>
            </c:numRef>
          </c:yVal>
          <c:smooth val="1"/>
          <c:extLst>
            <c:ext xmlns:c16="http://schemas.microsoft.com/office/drawing/2014/chart" uri="{C3380CC4-5D6E-409C-BE32-E72D297353CC}">
              <c16:uniqueId val="{00000006-FE9C-403E-A4B8-FE5AA2AD49AD}"/>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Generator  Run Time (hours/year)</a:t>
                </a:r>
              </a:p>
            </c:rich>
          </c:tx>
          <c:layout>
            <c:manualLayout>
              <c:xMode val="edge"/>
              <c:yMode val="edge"/>
              <c:x val="3.4864767294103836E-2"/>
              <c:y val="0.24064532694282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82999090304819545"/>
          <c:h val="9.73739016318612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SD 60  Run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7835358895355468E-2"/>
          <c:w val="0.83095013123359585"/>
          <c:h val="0.62476511088287878"/>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Detailed'!$B$162:$P$162</c:f>
              <c:numCache>
                <c:formatCode>#,##0.00</c:formatCode>
                <c:ptCount val="15"/>
                <c:pt idx="0">
                  <c:v>860.02359999999999</c:v>
                </c:pt>
                <c:pt idx="1">
                  <c:v>1087.1780000000001</c:v>
                </c:pt>
                <c:pt idx="2">
                  <c:v>974.16359999999997</c:v>
                </c:pt>
                <c:pt idx="3">
                  <c:v>994.22280000000001</c:v>
                </c:pt>
                <c:pt idx="4">
                  <c:v>1418.1343999999999</c:v>
                </c:pt>
                <c:pt idx="5">
                  <c:v>880.35919999999999</c:v>
                </c:pt>
                <c:pt idx="6">
                  <c:v>1218.6596</c:v>
                </c:pt>
                <c:pt idx="7">
                  <c:v>1509.8768</c:v>
                </c:pt>
                <c:pt idx="8">
                  <c:v>1433.7012</c:v>
                </c:pt>
                <c:pt idx="9">
                  <c:v>1922.0816</c:v>
                </c:pt>
                <c:pt idx="10">
                  <c:v>1926.4495999999999</c:v>
                </c:pt>
                <c:pt idx="11">
                  <c:v>1827.662</c:v>
                </c:pt>
                <c:pt idx="12">
                  <c:v>2148.33</c:v>
                </c:pt>
                <c:pt idx="13">
                  <c:v>2143.9760000000001</c:v>
                </c:pt>
                <c:pt idx="14">
                  <c:v>2167.3307999999997</c:v>
                </c:pt>
              </c:numCache>
            </c:numRef>
          </c:yVal>
          <c:smooth val="0"/>
          <c:extLst>
            <c:ext xmlns:c16="http://schemas.microsoft.com/office/drawing/2014/chart" uri="{C3380CC4-5D6E-409C-BE32-E72D297353CC}">
              <c16:uniqueId val="{00000000-81CD-4C83-81EA-4CEB701C50AD}"/>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Detailed'!$B$162:$O$162</c:f>
              <c:numCache>
                <c:formatCode>#,##0.00</c:formatCode>
                <c:ptCount val="14"/>
                <c:pt idx="0">
                  <c:v>591.6576</c:v>
                </c:pt>
                <c:pt idx="1">
                  <c:v>811.49919999999997</c:v>
                </c:pt>
                <c:pt idx="2">
                  <c:v>385.38800000000003</c:v>
                </c:pt>
                <c:pt idx="3">
                  <c:v>383.98040000000003</c:v>
                </c:pt>
                <c:pt idx="4">
                  <c:v>461.56239999999997</c:v>
                </c:pt>
                <c:pt idx="5">
                  <c:v>362.21879999999999</c:v>
                </c:pt>
                <c:pt idx="6">
                  <c:v>454.20519999999999</c:v>
                </c:pt>
                <c:pt idx="7">
                  <c:v>512.96360000000004</c:v>
                </c:pt>
                <c:pt idx="8">
                  <c:v>477.50959999999998</c:v>
                </c:pt>
                <c:pt idx="9">
                  <c:v>571.06119999999999</c:v>
                </c:pt>
                <c:pt idx="10">
                  <c:v>1156.6372000000001</c:v>
                </c:pt>
                <c:pt idx="11">
                  <c:v>1168.2303999999999</c:v>
                </c:pt>
                <c:pt idx="12">
                  <c:v>1135.4352000000001</c:v>
                </c:pt>
                <c:pt idx="13">
                  <c:v>1137.5475999999999</c:v>
                </c:pt>
              </c:numCache>
            </c:numRef>
          </c:yVal>
          <c:smooth val="0"/>
          <c:extLst>
            <c:ext xmlns:c16="http://schemas.microsoft.com/office/drawing/2014/chart" uri="{C3380CC4-5D6E-409C-BE32-E72D297353CC}">
              <c16:uniqueId val="{00000001-81CD-4C83-81EA-4CEB701C50AD}"/>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Detailed'!$B$162:$P$162</c:f>
              <c:numCache>
                <c:formatCode>#,##0.00</c:formatCode>
                <c:ptCount val="15"/>
                <c:pt idx="0">
                  <c:v>376.55760000000004</c:v>
                </c:pt>
                <c:pt idx="1">
                  <c:v>456.25</c:v>
                </c:pt>
                <c:pt idx="2">
                  <c:v>216.1148</c:v>
                </c:pt>
                <c:pt idx="3">
                  <c:v>366.41720000000004</c:v>
                </c:pt>
                <c:pt idx="4">
                  <c:v>257.1404</c:v>
                </c:pt>
                <c:pt idx="5">
                  <c:v>325.46440000000001</c:v>
                </c:pt>
                <c:pt idx="6">
                  <c:v>313.49639999999999</c:v>
                </c:pt>
                <c:pt idx="7">
                  <c:v>280.70920000000001</c:v>
                </c:pt>
                <c:pt idx="8">
                  <c:v>291.36400000000003</c:v>
                </c:pt>
                <c:pt idx="9">
                  <c:v>851.33039999999994</c:v>
                </c:pt>
                <c:pt idx="10">
                  <c:v>909.38639999999998</c:v>
                </c:pt>
                <c:pt idx="11">
                  <c:v>851.22240000000011</c:v>
                </c:pt>
                <c:pt idx="12">
                  <c:v>881.12720000000002</c:v>
                </c:pt>
                <c:pt idx="13">
                  <c:v>905.55639999999994</c:v>
                </c:pt>
                <c:pt idx="14">
                  <c:v>850.8975999999999</c:v>
                </c:pt>
              </c:numCache>
            </c:numRef>
          </c:yVal>
          <c:smooth val="0"/>
          <c:extLst>
            <c:ext xmlns:c16="http://schemas.microsoft.com/office/drawing/2014/chart" uri="{C3380CC4-5D6E-409C-BE32-E72D297353CC}">
              <c16:uniqueId val="{00000002-81CD-4C83-81EA-4CEB701C50AD}"/>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Detailed'!$B$162:$O$162</c:f>
              <c:numCache>
                <c:formatCode>#,##0.00</c:formatCode>
                <c:ptCount val="14"/>
                <c:pt idx="0">
                  <c:v>702.44759999999997</c:v>
                </c:pt>
                <c:pt idx="1">
                  <c:v>413.22919999999999</c:v>
                </c:pt>
                <c:pt idx="2">
                  <c:v>725.2088</c:v>
                </c:pt>
                <c:pt idx="3">
                  <c:v>1347.89</c:v>
                </c:pt>
                <c:pt idx="4">
                  <c:v>798.05200000000002</c:v>
                </c:pt>
                <c:pt idx="5">
                  <c:v>1264.1396</c:v>
                </c:pt>
                <c:pt idx="6">
                  <c:v>1724.4667999999999</c:v>
                </c:pt>
                <c:pt idx="7">
                  <c:v>1032.8768</c:v>
                </c:pt>
                <c:pt idx="8">
                  <c:v>993.0856</c:v>
                </c:pt>
                <c:pt idx="9">
                  <c:v>1067.1548</c:v>
                </c:pt>
                <c:pt idx="10">
                  <c:v>1571.3972000000001</c:v>
                </c:pt>
                <c:pt idx="11">
                  <c:v>2210.5911999999998</c:v>
                </c:pt>
                <c:pt idx="12">
                  <c:v>2126.6343999999999</c:v>
                </c:pt>
                <c:pt idx="13">
                  <c:v>1968.1564000000001</c:v>
                </c:pt>
              </c:numCache>
            </c:numRef>
          </c:yVal>
          <c:smooth val="0"/>
          <c:extLst>
            <c:ext xmlns:c16="http://schemas.microsoft.com/office/drawing/2014/chart" uri="{C3380CC4-5D6E-409C-BE32-E72D297353CC}">
              <c16:uniqueId val="{00000003-81CD-4C83-81EA-4CEB701C50AD}"/>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Detailed'!$B$162:$S$162</c:f>
              <c:numCache>
                <c:formatCode>#,##0.00</c:formatCode>
                <c:ptCount val="18"/>
                <c:pt idx="0">
                  <c:v>842.35320000000002</c:v>
                </c:pt>
                <c:pt idx="1">
                  <c:v>288.97919999999999</c:v>
                </c:pt>
                <c:pt idx="2">
                  <c:v>281.90120000000002</c:v>
                </c:pt>
                <c:pt idx="3">
                  <c:v>295.05959999999999</c:v>
                </c:pt>
                <c:pt idx="4">
                  <c:v>230.25119999999998</c:v>
                </c:pt>
                <c:pt idx="5">
                  <c:v>481.02319999999997</c:v>
                </c:pt>
                <c:pt idx="6">
                  <c:v>448.84280000000001</c:v>
                </c:pt>
                <c:pt idx="7">
                  <c:v>380.12440000000004</c:v>
                </c:pt>
                <c:pt idx="8">
                  <c:v>367.07760000000002</c:v>
                </c:pt>
                <c:pt idx="9">
                  <c:v>397.30160000000001</c:v>
                </c:pt>
                <c:pt idx="10">
                  <c:v>538.89559999999994</c:v>
                </c:pt>
                <c:pt idx="11">
                  <c:v>479.2088</c:v>
                </c:pt>
                <c:pt idx="12">
                  <c:v>449.11440000000005</c:v>
                </c:pt>
                <c:pt idx="13">
                  <c:v>1078.4204</c:v>
                </c:pt>
                <c:pt idx="14">
                  <c:v>1010.2775999999999</c:v>
                </c:pt>
                <c:pt idx="15">
                  <c:v>978.13479999999993</c:v>
                </c:pt>
                <c:pt idx="16">
                  <c:v>1043.8996</c:v>
                </c:pt>
                <c:pt idx="17">
                  <c:v>1045.1712</c:v>
                </c:pt>
              </c:numCache>
            </c:numRef>
          </c:yVal>
          <c:smooth val="0"/>
          <c:extLst>
            <c:ext xmlns:c16="http://schemas.microsoft.com/office/drawing/2014/chart" uri="{C3380CC4-5D6E-409C-BE32-E72D297353CC}">
              <c16:uniqueId val="{00000004-81CD-4C83-81EA-4CEB701C50AD}"/>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Detailed'!$B$162:$U$162</c:f>
              <c:numCache>
                <c:formatCode>#,##0.00</c:formatCode>
                <c:ptCount val="20"/>
                <c:pt idx="0">
                  <c:v>345.2364</c:v>
                </c:pt>
                <c:pt idx="1">
                  <c:v>302.50360000000001</c:v>
                </c:pt>
                <c:pt idx="2">
                  <c:v>358.99639999999999</c:v>
                </c:pt>
                <c:pt idx="3">
                  <c:v>269.64479999999998</c:v>
                </c:pt>
                <c:pt idx="4">
                  <c:v>180.07319999999999</c:v>
                </c:pt>
                <c:pt idx="5">
                  <c:v>192.92520000000002</c:v>
                </c:pt>
                <c:pt idx="6">
                  <c:v>160.99600000000001</c:v>
                </c:pt>
                <c:pt idx="7">
                  <c:v>297.00279999999998</c:v>
                </c:pt>
                <c:pt idx="8">
                  <c:v>266.17080000000004</c:v>
                </c:pt>
                <c:pt idx="9">
                  <c:v>261.54919999999998</c:v>
                </c:pt>
                <c:pt idx="10">
                  <c:v>327.64080000000001</c:v>
                </c:pt>
                <c:pt idx="11">
                  <c:v>343.07559999999995</c:v>
                </c:pt>
                <c:pt idx="12">
                  <c:v>421.85599999999999</c:v>
                </c:pt>
                <c:pt idx="13">
                  <c:v>374.89639999999997</c:v>
                </c:pt>
                <c:pt idx="14">
                  <c:v>696.25639999999999</c:v>
                </c:pt>
                <c:pt idx="15">
                  <c:v>717.18679999999995</c:v>
                </c:pt>
                <c:pt idx="16">
                  <c:v>698.65279999999996</c:v>
                </c:pt>
                <c:pt idx="17">
                  <c:v>787.95600000000002</c:v>
                </c:pt>
                <c:pt idx="18">
                  <c:v>729.72960000000012</c:v>
                </c:pt>
                <c:pt idx="19">
                  <c:v>681.64520000000005</c:v>
                </c:pt>
              </c:numCache>
            </c:numRef>
          </c:yVal>
          <c:smooth val="0"/>
          <c:extLst>
            <c:ext xmlns:c16="http://schemas.microsoft.com/office/drawing/2014/chart" uri="{C3380CC4-5D6E-409C-BE32-E72D297353CC}">
              <c16:uniqueId val="{00000005-81CD-4C83-81EA-4CEB701C50AD}"/>
            </c:ext>
          </c:extLst>
        </c:ser>
        <c:ser>
          <c:idx val="6"/>
          <c:order val="6"/>
          <c:tx>
            <c:v>Baseline</c:v>
          </c:tx>
          <c:spPr>
            <a:ln w="28575" cap="rnd">
              <a:noFill/>
              <a:round/>
            </a:ln>
            <a:effectLst/>
          </c:spPr>
          <c:marker>
            <c:symbol val="circle"/>
            <c:size val="5"/>
            <c:spPr>
              <a:solidFill>
                <a:schemeClr val="accent1">
                  <a:lumMod val="60000"/>
                </a:schemeClr>
              </a:solidFill>
              <a:ln w="9525">
                <a:solidFill>
                  <a:schemeClr val="accent1">
                    <a:lumMod val="60000"/>
                  </a:schemeClr>
                </a:solidFill>
              </a:ln>
              <a:effectLst/>
              <a:scene3d>
                <a:camera prst="orthographicFront"/>
                <a:lightRig rig="threePt" dir="t"/>
              </a:scene3d>
              <a:sp3d>
                <a:bevelT/>
              </a:sp3d>
            </c:spPr>
          </c:marker>
          <c:xVal>
            <c:numLit>
              <c:formatCode>General</c:formatCode>
              <c:ptCount val="1"/>
              <c:pt idx="0">
                <c:v>0</c:v>
              </c:pt>
            </c:numLit>
          </c:xVal>
          <c:yVal>
            <c:numRef>
              <c:f>'NO-EE Detailed'!$B$142</c:f>
              <c:numCache>
                <c:formatCode>#,##0.00</c:formatCode>
                <c:ptCount val="1"/>
                <c:pt idx="0">
                  <c:v>3843.3115999999995</c:v>
                </c:pt>
              </c:numCache>
            </c:numRef>
          </c:yVal>
          <c:smooth val="1"/>
          <c:extLst>
            <c:ext xmlns:c16="http://schemas.microsoft.com/office/drawing/2014/chart" uri="{C3380CC4-5D6E-409C-BE32-E72D297353CC}">
              <c16:uniqueId val="{00000006-81CD-4C83-81EA-4CEB701C50AD}"/>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Generator  Run Time (hours/year)</a:t>
                </a:r>
              </a:p>
            </c:rich>
          </c:tx>
          <c:layout>
            <c:manualLayout>
              <c:xMode val="edge"/>
              <c:yMode val="edge"/>
              <c:x val="3.4864767294103836E-2"/>
              <c:y val="0.24064532694282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82999090304819545"/>
          <c:h val="9.73739016318612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CMS K19G2 Run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7835358895355468E-2"/>
          <c:w val="0.83095013123359585"/>
          <c:h val="0.62476511088287878"/>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Detailed'!$B$163:$P$163</c:f>
              <c:numCache>
                <c:formatCode>#,##0.00</c:formatCode>
                <c:ptCount val="15"/>
                <c:pt idx="0">
                  <c:v>25.430399999999999</c:v>
                </c:pt>
                <c:pt idx="1">
                  <c:v>40.840400000000002</c:v>
                </c:pt>
                <c:pt idx="2">
                  <c:v>17.125999999999998</c:v>
                </c:pt>
                <c:pt idx="3">
                  <c:v>18.599599999999999</c:v>
                </c:pt>
                <c:pt idx="4">
                  <c:v>31.595600000000001</c:v>
                </c:pt>
                <c:pt idx="5">
                  <c:v>4.3879999999999999</c:v>
                </c:pt>
                <c:pt idx="6">
                  <c:v>13.5604</c:v>
                </c:pt>
                <c:pt idx="7">
                  <c:v>6.8860000000000001</c:v>
                </c:pt>
                <c:pt idx="8">
                  <c:v>20.808400000000002</c:v>
                </c:pt>
                <c:pt idx="9">
                  <c:v>269.36759999999998</c:v>
                </c:pt>
                <c:pt idx="10">
                  <c:v>214.35159999999999</c:v>
                </c:pt>
                <c:pt idx="11">
                  <c:v>254.25880000000001</c:v>
                </c:pt>
                <c:pt idx="12">
                  <c:v>269.14839999999998</c:v>
                </c:pt>
                <c:pt idx="13">
                  <c:v>272.86599999999999</c:v>
                </c:pt>
                <c:pt idx="14">
                  <c:v>275.37959999999998</c:v>
                </c:pt>
              </c:numCache>
            </c:numRef>
          </c:yVal>
          <c:smooth val="0"/>
          <c:extLst>
            <c:ext xmlns:c16="http://schemas.microsoft.com/office/drawing/2014/chart" uri="{C3380CC4-5D6E-409C-BE32-E72D297353CC}">
              <c16:uniqueId val="{00000000-A678-429F-AF78-267022CDF472}"/>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Detailed'!$B$163:$O$163</c:f>
              <c:numCache>
                <c:formatCode>#,##0.00</c:formatCode>
                <c:ptCount val="14"/>
                <c:pt idx="0">
                  <c:v>2.5584000000000002</c:v>
                </c:pt>
                <c:pt idx="1">
                  <c:v>8.8000000000000005E-3</c:v>
                </c:pt>
                <c:pt idx="2">
                  <c:v>9.8504000000000005</c:v>
                </c:pt>
                <c:pt idx="3">
                  <c:v>16.422000000000001</c:v>
                </c:pt>
                <c:pt idx="4">
                  <c:v>9.4451999999999998</c:v>
                </c:pt>
                <c:pt idx="5">
                  <c:v>8.8000000000000005E-3</c:v>
                </c:pt>
                <c:pt idx="6">
                  <c:v>0.01</c:v>
                </c:pt>
                <c:pt idx="7">
                  <c:v>11.58</c:v>
                </c:pt>
                <c:pt idx="8">
                  <c:v>8.0495999999999999</c:v>
                </c:pt>
                <c:pt idx="9">
                  <c:v>2.7143999999999999</c:v>
                </c:pt>
                <c:pt idx="10">
                  <c:v>109.7808</c:v>
                </c:pt>
                <c:pt idx="11">
                  <c:v>99.157999999999987</c:v>
                </c:pt>
                <c:pt idx="12">
                  <c:v>109.896</c:v>
                </c:pt>
                <c:pt idx="13">
                  <c:v>120.4944</c:v>
                </c:pt>
              </c:numCache>
            </c:numRef>
          </c:yVal>
          <c:smooth val="0"/>
          <c:extLst>
            <c:ext xmlns:c16="http://schemas.microsoft.com/office/drawing/2014/chart" uri="{C3380CC4-5D6E-409C-BE32-E72D297353CC}">
              <c16:uniqueId val="{00000001-A678-429F-AF78-267022CDF472}"/>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Detailed'!$B$163:$P$163</c:f>
              <c:numCache>
                <c:formatCode>#,##0.00</c:formatCode>
                <c:ptCount val="15"/>
                <c:pt idx="0">
                  <c:v>0.01</c:v>
                </c:pt>
                <c:pt idx="1">
                  <c:v>7.1344000000000003</c:v>
                </c:pt>
                <c:pt idx="2">
                  <c:v>15.882400000000001</c:v>
                </c:pt>
                <c:pt idx="3">
                  <c:v>3.6295999999999999</c:v>
                </c:pt>
                <c:pt idx="4">
                  <c:v>2.0400000000000001E-2</c:v>
                </c:pt>
                <c:pt idx="5">
                  <c:v>9.4968000000000004</c:v>
                </c:pt>
                <c:pt idx="6">
                  <c:v>10.128</c:v>
                </c:pt>
                <c:pt idx="7">
                  <c:v>9.7896000000000001</c:v>
                </c:pt>
                <c:pt idx="8">
                  <c:v>9.5999999999999992E-3</c:v>
                </c:pt>
                <c:pt idx="9">
                  <c:v>4.1175999999999995</c:v>
                </c:pt>
                <c:pt idx="10">
                  <c:v>4.8288000000000002</c:v>
                </c:pt>
                <c:pt idx="11">
                  <c:v>3.6080000000000001</c:v>
                </c:pt>
                <c:pt idx="12">
                  <c:v>7.7476000000000003</c:v>
                </c:pt>
                <c:pt idx="13">
                  <c:v>7.7927999999999997</c:v>
                </c:pt>
                <c:pt idx="14">
                  <c:v>5.2284000000000006</c:v>
                </c:pt>
              </c:numCache>
            </c:numRef>
          </c:yVal>
          <c:smooth val="0"/>
          <c:extLst>
            <c:ext xmlns:c16="http://schemas.microsoft.com/office/drawing/2014/chart" uri="{C3380CC4-5D6E-409C-BE32-E72D297353CC}">
              <c16:uniqueId val="{00000002-A678-429F-AF78-267022CDF472}"/>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Detailed'!$B$163:$O$163</c:f>
              <c:numCache>
                <c:formatCode>#,##0.00</c:formatCode>
                <c:ptCount val="14"/>
                <c:pt idx="0">
                  <c:v>17.737200000000001</c:v>
                </c:pt>
                <c:pt idx="1">
                  <c:v>12.7652</c:v>
                </c:pt>
                <c:pt idx="2">
                  <c:v>20.584</c:v>
                </c:pt>
                <c:pt idx="3">
                  <c:v>14.238399999999999</c:v>
                </c:pt>
                <c:pt idx="4">
                  <c:v>33.318800000000003</c:v>
                </c:pt>
                <c:pt idx="5">
                  <c:v>31.249200000000002</c:v>
                </c:pt>
                <c:pt idx="6">
                  <c:v>28.419599999999999</c:v>
                </c:pt>
                <c:pt idx="7">
                  <c:v>31.874000000000002</c:v>
                </c:pt>
                <c:pt idx="8">
                  <c:v>19.2988</c:v>
                </c:pt>
                <c:pt idx="9">
                  <c:v>17.694400000000002</c:v>
                </c:pt>
                <c:pt idx="10">
                  <c:v>11.252800000000001</c:v>
                </c:pt>
                <c:pt idx="11">
                  <c:v>234.8296</c:v>
                </c:pt>
                <c:pt idx="12">
                  <c:v>269.36240000000004</c:v>
                </c:pt>
                <c:pt idx="13">
                  <c:v>460.75400000000002</c:v>
                </c:pt>
              </c:numCache>
            </c:numRef>
          </c:yVal>
          <c:smooth val="0"/>
          <c:extLst>
            <c:ext xmlns:c16="http://schemas.microsoft.com/office/drawing/2014/chart" uri="{C3380CC4-5D6E-409C-BE32-E72D297353CC}">
              <c16:uniqueId val="{00000003-A678-429F-AF78-267022CDF472}"/>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Detailed'!$B$163:$S$163</c:f>
              <c:numCache>
                <c:formatCode>#,##0.00</c:formatCode>
                <c:ptCount val="18"/>
                <c:pt idx="0">
                  <c:v>6.0039999999999996</c:v>
                </c:pt>
                <c:pt idx="1">
                  <c:v>0.50759999999999994</c:v>
                </c:pt>
                <c:pt idx="2">
                  <c:v>16.075199999999999</c:v>
                </c:pt>
                <c:pt idx="3">
                  <c:v>4.6580000000000004</c:v>
                </c:pt>
                <c:pt idx="4">
                  <c:v>8.8000000000000005E-3</c:v>
                </c:pt>
                <c:pt idx="5">
                  <c:v>3.6151999999999997</c:v>
                </c:pt>
                <c:pt idx="6">
                  <c:v>7.0548000000000002</c:v>
                </c:pt>
                <c:pt idx="7">
                  <c:v>9.6196000000000002</c:v>
                </c:pt>
                <c:pt idx="8">
                  <c:v>3.1751999999999998</c:v>
                </c:pt>
                <c:pt idx="9">
                  <c:v>0.01</c:v>
                </c:pt>
                <c:pt idx="10">
                  <c:v>9.9763999999999999</c:v>
                </c:pt>
                <c:pt idx="11">
                  <c:v>0.01</c:v>
                </c:pt>
                <c:pt idx="12">
                  <c:v>3.4304000000000001</c:v>
                </c:pt>
                <c:pt idx="13">
                  <c:v>20.2316</c:v>
                </c:pt>
                <c:pt idx="14">
                  <c:v>31.023600000000002</c:v>
                </c:pt>
                <c:pt idx="15">
                  <c:v>12.805199999999999</c:v>
                </c:pt>
                <c:pt idx="16">
                  <c:v>39.616799999999998</c:v>
                </c:pt>
                <c:pt idx="17">
                  <c:v>14.7896</c:v>
                </c:pt>
              </c:numCache>
            </c:numRef>
          </c:yVal>
          <c:smooth val="0"/>
          <c:extLst>
            <c:ext xmlns:c16="http://schemas.microsoft.com/office/drawing/2014/chart" uri="{C3380CC4-5D6E-409C-BE32-E72D297353CC}">
              <c16:uniqueId val="{00000004-A678-429F-AF78-267022CDF472}"/>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Detailed'!$B$163:$U$163</c:f>
              <c:numCache>
                <c:formatCode>#,##0.00</c:formatCode>
                <c:ptCount val="20"/>
                <c:pt idx="0">
                  <c:v>18.9316</c:v>
                </c:pt>
                <c:pt idx="1">
                  <c:v>11.218800000000002</c:v>
                </c:pt>
                <c:pt idx="2">
                  <c:v>0.46240000000000003</c:v>
                </c:pt>
                <c:pt idx="3">
                  <c:v>0.99879999999999991</c:v>
                </c:pt>
                <c:pt idx="4">
                  <c:v>9.5999999999999992E-3</c:v>
                </c:pt>
                <c:pt idx="5">
                  <c:v>0.01</c:v>
                </c:pt>
                <c:pt idx="6">
                  <c:v>9.6059999999999999</c:v>
                </c:pt>
                <c:pt idx="7">
                  <c:v>2.4104000000000001</c:v>
                </c:pt>
                <c:pt idx="8">
                  <c:v>9.2156000000000002</c:v>
                </c:pt>
                <c:pt idx="9">
                  <c:v>9.5999999999999992E-3</c:v>
                </c:pt>
                <c:pt idx="10">
                  <c:v>0.01</c:v>
                </c:pt>
                <c:pt idx="11">
                  <c:v>6.0055999999999994</c:v>
                </c:pt>
                <c:pt idx="12">
                  <c:v>5.7427999999999999</c:v>
                </c:pt>
                <c:pt idx="13">
                  <c:v>4.4980000000000002</c:v>
                </c:pt>
                <c:pt idx="14">
                  <c:v>38.626399999999997</c:v>
                </c:pt>
                <c:pt idx="15">
                  <c:v>44.231200000000001</c:v>
                </c:pt>
                <c:pt idx="16">
                  <c:v>39.814799999999998</c:v>
                </c:pt>
                <c:pt idx="17">
                  <c:v>43.808799999999998</c:v>
                </c:pt>
                <c:pt idx="18">
                  <c:v>50.412799999999997</c:v>
                </c:pt>
                <c:pt idx="19">
                  <c:v>36.900799999999997</c:v>
                </c:pt>
              </c:numCache>
            </c:numRef>
          </c:yVal>
          <c:smooth val="0"/>
          <c:extLst>
            <c:ext xmlns:c16="http://schemas.microsoft.com/office/drawing/2014/chart" uri="{C3380CC4-5D6E-409C-BE32-E72D297353CC}">
              <c16:uniqueId val="{00000005-A678-429F-AF78-267022CDF472}"/>
            </c:ext>
          </c:extLst>
        </c:ser>
        <c:ser>
          <c:idx val="6"/>
          <c:order val="6"/>
          <c:tx>
            <c:v>Baseline</c:v>
          </c:tx>
          <c:spPr>
            <a:ln w="28575" cap="rnd">
              <a:noFill/>
              <a:round/>
            </a:ln>
            <a:effectLst/>
          </c:spPr>
          <c:marker>
            <c:symbol val="circle"/>
            <c:size val="5"/>
            <c:spPr>
              <a:solidFill>
                <a:schemeClr val="accent1">
                  <a:lumMod val="60000"/>
                </a:schemeClr>
              </a:solidFill>
              <a:ln w="9525">
                <a:solidFill>
                  <a:schemeClr val="accent1">
                    <a:lumMod val="60000"/>
                  </a:schemeClr>
                </a:solidFill>
              </a:ln>
              <a:effectLst/>
              <a:scene3d>
                <a:camera prst="orthographicFront"/>
                <a:lightRig rig="threePt" dir="t"/>
              </a:scene3d>
              <a:sp3d>
                <a:bevelT/>
              </a:sp3d>
            </c:spPr>
          </c:marker>
          <c:xVal>
            <c:numLit>
              <c:formatCode>General</c:formatCode>
              <c:ptCount val="1"/>
              <c:pt idx="0">
                <c:v>0</c:v>
              </c:pt>
            </c:numLit>
          </c:xVal>
          <c:yVal>
            <c:numRef>
              <c:f>'NO-EE Detailed'!$B$143</c:f>
              <c:numCache>
                <c:formatCode>#,##0.00</c:formatCode>
                <c:ptCount val="1"/>
                <c:pt idx="0">
                  <c:v>372.60120000000001</c:v>
                </c:pt>
              </c:numCache>
            </c:numRef>
          </c:yVal>
          <c:smooth val="1"/>
          <c:extLst>
            <c:ext xmlns:c16="http://schemas.microsoft.com/office/drawing/2014/chart" uri="{C3380CC4-5D6E-409C-BE32-E72D297353CC}">
              <c16:uniqueId val="{00000006-A678-429F-AF78-267022CDF472}"/>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Generator  Run Time (hours/year)</a:t>
                </a:r>
              </a:p>
            </c:rich>
          </c:tx>
          <c:layout>
            <c:manualLayout>
              <c:xMode val="edge"/>
              <c:yMode val="edge"/>
              <c:x val="3.4864767294103836E-2"/>
              <c:y val="0.24064532694282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82999090304819545"/>
          <c:h val="9.73739016318612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Heating</a:t>
            </a:r>
            <a:r>
              <a:rPr lang="en-US" baseline="0"/>
              <a:t> Stove Utilization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1796793814038741E-2"/>
          <c:w val="0.83095013123359585"/>
          <c:h val="0.63080382199827123"/>
        </c:manualLayout>
      </c:layout>
      <c:scatterChart>
        <c:scatterStyle val="smoothMarker"/>
        <c:varyColors val="0"/>
        <c:ser>
          <c:idx val="0"/>
          <c:order val="0"/>
          <c:tx>
            <c:strRef>
              <c:f>'NPV Plotting'!$A$5</c:f>
              <c:strCache>
                <c:ptCount val="1"/>
                <c:pt idx="0">
                  <c:v>Low EE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Detailed'!$B$227:$P$227</c:f>
              <c:numCache>
                <c:formatCode>0</c:formatCode>
                <c:ptCount val="15"/>
                <c:pt idx="0" formatCode="General">
                  <c:v>0</c:v>
                </c:pt>
                <c:pt idx="1">
                  <c:v>1</c:v>
                </c:pt>
                <c:pt idx="2">
                  <c:v>1</c:v>
                </c:pt>
                <c:pt idx="3">
                  <c:v>1</c:v>
                </c:pt>
                <c:pt idx="4">
                  <c:v>1</c:v>
                </c:pt>
                <c:pt idx="5">
                  <c:v>3</c:v>
                </c:pt>
                <c:pt idx="6">
                  <c:v>3</c:v>
                </c:pt>
                <c:pt idx="7">
                  <c:v>4</c:v>
                </c:pt>
                <c:pt idx="8">
                  <c:v>4</c:v>
                </c:pt>
                <c:pt idx="9">
                  <c:v>5</c:v>
                </c:pt>
                <c:pt idx="10">
                  <c:v>8</c:v>
                </c:pt>
                <c:pt idx="11">
                  <c:v>8</c:v>
                </c:pt>
                <c:pt idx="12">
                  <c:v>9</c:v>
                </c:pt>
                <c:pt idx="13">
                  <c:v>9</c:v>
                </c:pt>
                <c:pt idx="14">
                  <c:v>12</c:v>
                </c:pt>
              </c:numCache>
            </c:numRef>
          </c:yVal>
          <c:smooth val="0"/>
          <c:extLst>
            <c:ext xmlns:c16="http://schemas.microsoft.com/office/drawing/2014/chart" uri="{C3380CC4-5D6E-409C-BE32-E72D297353CC}">
              <c16:uniqueId val="{00000000-AC3E-4FAE-BD92-BB74438602A4}"/>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9525">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Detailed'!$B$227:$O$227</c:f>
              <c:numCache>
                <c:formatCode>0</c:formatCode>
                <c:ptCount val="14"/>
                <c:pt idx="0" formatCode="General">
                  <c:v>0</c:v>
                </c:pt>
                <c:pt idx="1">
                  <c:v>0</c:v>
                </c:pt>
                <c:pt idx="2">
                  <c:v>1</c:v>
                </c:pt>
                <c:pt idx="3">
                  <c:v>1</c:v>
                </c:pt>
                <c:pt idx="4">
                  <c:v>1</c:v>
                </c:pt>
                <c:pt idx="5">
                  <c:v>1</c:v>
                </c:pt>
                <c:pt idx="6">
                  <c:v>1</c:v>
                </c:pt>
                <c:pt idx="7">
                  <c:v>1</c:v>
                </c:pt>
                <c:pt idx="8">
                  <c:v>3</c:v>
                </c:pt>
                <c:pt idx="9">
                  <c:v>4</c:v>
                </c:pt>
                <c:pt idx="10">
                  <c:v>5</c:v>
                </c:pt>
                <c:pt idx="11">
                  <c:v>9</c:v>
                </c:pt>
                <c:pt idx="12">
                  <c:v>10</c:v>
                </c:pt>
                <c:pt idx="13">
                  <c:v>13</c:v>
                </c:pt>
              </c:numCache>
            </c:numRef>
          </c:yVal>
          <c:smooth val="0"/>
          <c:extLst>
            <c:ext xmlns:c16="http://schemas.microsoft.com/office/drawing/2014/chart" uri="{C3380CC4-5D6E-409C-BE32-E72D297353CC}">
              <c16:uniqueId val="{00000001-AC3E-4FAE-BD92-BB74438602A4}"/>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Detailed'!$B$227:$P$227</c:f>
              <c:numCache>
                <c:formatCode>0</c:formatCode>
                <c:ptCount val="15"/>
                <c:pt idx="0" formatCode="General">
                  <c:v>0</c:v>
                </c:pt>
                <c:pt idx="1">
                  <c:v>0</c:v>
                </c:pt>
                <c:pt idx="2">
                  <c:v>1</c:v>
                </c:pt>
                <c:pt idx="3">
                  <c:v>1</c:v>
                </c:pt>
                <c:pt idx="4">
                  <c:v>2</c:v>
                </c:pt>
                <c:pt idx="5">
                  <c:v>3</c:v>
                </c:pt>
                <c:pt idx="6">
                  <c:v>3</c:v>
                </c:pt>
                <c:pt idx="7">
                  <c:v>4</c:v>
                </c:pt>
                <c:pt idx="8">
                  <c:v>4</c:v>
                </c:pt>
                <c:pt idx="9">
                  <c:v>8</c:v>
                </c:pt>
                <c:pt idx="10">
                  <c:v>9</c:v>
                </c:pt>
                <c:pt idx="11">
                  <c:v>9</c:v>
                </c:pt>
                <c:pt idx="12">
                  <c:v>11</c:v>
                </c:pt>
                <c:pt idx="13">
                  <c:v>14</c:v>
                </c:pt>
                <c:pt idx="14">
                  <c:v>14</c:v>
                </c:pt>
              </c:numCache>
            </c:numRef>
          </c:yVal>
          <c:smooth val="0"/>
          <c:extLst>
            <c:ext xmlns:c16="http://schemas.microsoft.com/office/drawing/2014/chart" uri="{C3380CC4-5D6E-409C-BE32-E72D297353CC}">
              <c16:uniqueId val="{00000002-AC3E-4FAE-BD92-BB74438602A4}"/>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Numbre of Heating Stoves</a:t>
                </a:r>
                <a:r>
                  <a:rPr lang="en-US" baseline="0"/>
                  <a:t> (6kW each)</a:t>
                </a:r>
                <a:endParaRPr lang="en-US"/>
              </a:p>
            </c:rich>
          </c:tx>
          <c:layout>
            <c:manualLayout>
              <c:xMode val="edge"/>
              <c:yMode val="edge"/>
              <c:x val="3.7035273029895656E-2"/>
              <c:y val="0.18936857979562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valAx>
      <c:spPr>
        <a:noFill/>
        <a:ln>
          <a:noFill/>
        </a:ln>
        <a:effectLst/>
      </c:spPr>
    </c:plotArea>
    <c:legend>
      <c:legendPos val="b"/>
      <c:layout>
        <c:manualLayout>
          <c:xMode val="edge"/>
          <c:yMode val="edge"/>
          <c:x val="0.17000909032712375"/>
          <c:y val="0.87556486872243056"/>
          <c:w val="0.65564560527495042"/>
          <c:h val="9.728580356190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Heating</a:t>
            </a:r>
            <a:r>
              <a:rPr lang="en-US" baseline="0"/>
              <a:t> Stove Utilization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0497407336278"/>
          <c:y val="9.1796793814038741E-2"/>
          <c:w val="0.80710189275121103"/>
          <c:h val="0.63080382199827123"/>
        </c:manualLayout>
      </c:layout>
      <c:scatterChart>
        <c:scatterStyle val="smoothMarker"/>
        <c:varyColors val="0"/>
        <c:ser>
          <c:idx val="0"/>
          <c:order val="0"/>
          <c:tx>
            <c:strRef>
              <c:f>'NPV Plotting'!$A$5</c:f>
              <c:strCache>
                <c:ptCount val="1"/>
                <c:pt idx="0">
                  <c:v>Low EE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scene3d>
                <a:camera prst="orthographicFront"/>
                <a:lightRig rig="threePt" dir="t"/>
              </a:scene3d>
              <a:sp3d>
                <a:bevelT/>
              </a:sp3d>
            </c:spPr>
          </c:marker>
          <c:xVal>
            <c:numRef>
              <c:f>'Low-EE Detailed'!$B$227:$P$227</c:f>
              <c:numCache>
                <c:formatCode>0</c:formatCode>
                <c:ptCount val="15"/>
                <c:pt idx="0" formatCode="General">
                  <c:v>0</c:v>
                </c:pt>
                <c:pt idx="1">
                  <c:v>1</c:v>
                </c:pt>
                <c:pt idx="2">
                  <c:v>1</c:v>
                </c:pt>
                <c:pt idx="3">
                  <c:v>1</c:v>
                </c:pt>
                <c:pt idx="4">
                  <c:v>1</c:v>
                </c:pt>
                <c:pt idx="5">
                  <c:v>3</c:v>
                </c:pt>
                <c:pt idx="6">
                  <c:v>3</c:v>
                </c:pt>
                <c:pt idx="7">
                  <c:v>4</c:v>
                </c:pt>
                <c:pt idx="8">
                  <c:v>4</c:v>
                </c:pt>
                <c:pt idx="9">
                  <c:v>5</c:v>
                </c:pt>
                <c:pt idx="10">
                  <c:v>8</c:v>
                </c:pt>
                <c:pt idx="11">
                  <c:v>8</c:v>
                </c:pt>
                <c:pt idx="12">
                  <c:v>9</c:v>
                </c:pt>
                <c:pt idx="13">
                  <c:v>9</c:v>
                </c:pt>
                <c:pt idx="14">
                  <c:v>12</c:v>
                </c:pt>
              </c:numCache>
            </c:numRef>
          </c:xVal>
          <c:yVal>
            <c:numRef>
              <c:f>'Low-EE Detailed'!$B$55:$P$55</c:f>
              <c:numCache>
                <c:formatCode>#,##0.00</c:formatCode>
                <c:ptCount val="15"/>
                <c:pt idx="0">
                  <c:v>199.14125277573839</c:v>
                </c:pt>
                <c:pt idx="1">
                  <c:v>238.51265135640097</c:v>
                </c:pt>
                <c:pt idx="2">
                  <c:v>812.78568440015079</c:v>
                </c:pt>
                <c:pt idx="3">
                  <c:v>812.787161602173</c:v>
                </c:pt>
                <c:pt idx="4">
                  <c:v>1339.8627880488639</c:v>
                </c:pt>
                <c:pt idx="5">
                  <c:v>3334.5709188446363</c:v>
                </c:pt>
                <c:pt idx="6">
                  <c:v>3334.5746084513066</c:v>
                </c:pt>
                <c:pt idx="7">
                  <c:v>4296.181025676271</c:v>
                </c:pt>
                <c:pt idx="8">
                  <c:v>4290.0808914655026</c:v>
                </c:pt>
                <c:pt idx="9">
                  <c:v>5584.8616087268747</c:v>
                </c:pt>
                <c:pt idx="10">
                  <c:v>9975.0571384194664</c:v>
                </c:pt>
                <c:pt idx="11">
                  <c:v>9981.8437274014941</c:v>
                </c:pt>
                <c:pt idx="12">
                  <c:v>11846.816109781761</c:v>
                </c:pt>
                <c:pt idx="13">
                  <c:v>10980.012339833906</c:v>
                </c:pt>
                <c:pt idx="14">
                  <c:v>15837.374632345978</c:v>
                </c:pt>
              </c:numCache>
            </c:numRef>
          </c:yVal>
          <c:smooth val="0"/>
          <c:extLst>
            <c:ext xmlns:c16="http://schemas.microsoft.com/office/drawing/2014/chart" uri="{C3380CC4-5D6E-409C-BE32-E72D297353CC}">
              <c16:uniqueId val="{00000000-DD2E-4691-B90C-1B033E99FB92}"/>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9525">
                <a:solidFill>
                  <a:srgbClr val="00B050"/>
                </a:solidFill>
              </a:ln>
              <a:effectLst/>
              <a:scene3d>
                <a:camera prst="orthographicFront"/>
                <a:lightRig rig="threePt" dir="t"/>
              </a:scene3d>
              <a:sp3d>
                <a:bevelT/>
              </a:sp3d>
            </c:spPr>
          </c:marker>
          <c:xVal>
            <c:numRef>
              <c:f>'Med-EE Detailed'!$B$227:$O$227</c:f>
              <c:numCache>
                <c:formatCode>0</c:formatCode>
                <c:ptCount val="14"/>
                <c:pt idx="0" formatCode="General">
                  <c:v>0</c:v>
                </c:pt>
                <c:pt idx="1">
                  <c:v>0</c:v>
                </c:pt>
                <c:pt idx="2">
                  <c:v>1</c:v>
                </c:pt>
                <c:pt idx="3">
                  <c:v>1</c:v>
                </c:pt>
                <c:pt idx="4">
                  <c:v>1</c:v>
                </c:pt>
                <c:pt idx="5">
                  <c:v>1</c:v>
                </c:pt>
                <c:pt idx="6">
                  <c:v>1</c:v>
                </c:pt>
                <c:pt idx="7">
                  <c:v>1</c:v>
                </c:pt>
                <c:pt idx="8">
                  <c:v>3</c:v>
                </c:pt>
                <c:pt idx="9">
                  <c:v>4</c:v>
                </c:pt>
                <c:pt idx="10">
                  <c:v>5</c:v>
                </c:pt>
                <c:pt idx="11">
                  <c:v>9</c:v>
                </c:pt>
                <c:pt idx="12">
                  <c:v>10</c:v>
                </c:pt>
                <c:pt idx="13">
                  <c:v>13</c:v>
                </c:pt>
              </c:numCache>
            </c:numRef>
          </c:xVal>
          <c:yVal>
            <c:numRef>
              <c:f>'Med-EE Detailed'!$B$55:$O$55</c:f>
              <c:numCache>
                <c:formatCode>#,##0.00</c:formatCode>
                <c:ptCount val="14"/>
                <c:pt idx="0">
                  <c:v>186.02054639146445</c:v>
                </c:pt>
                <c:pt idx="1">
                  <c:v>186.02498139593081</c:v>
                </c:pt>
                <c:pt idx="2">
                  <c:v>253.33791327780091</c:v>
                </c:pt>
                <c:pt idx="3">
                  <c:v>253.3343921790256</c:v>
                </c:pt>
                <c:pt idx="4">
                  <c:v>913.23198698680062</c:v>
                </c:pt>
                <c:pt idx="5">
                  <c:v>913.22838163407869</c:v>
                </c:pt>
                <c:pt idx="6">
                  <c:v>913.23235798650421</c:v>
                </c:pt>
                <c:pt idx="7">
                  <c:v>1493.7747733453816</c:v>
                </c:pt>
                <c:pt idx="8">
                  <c:v>3568.6158939408342</c:v>
                </c:pt>
                <c:pt idx="9">
                  <c:v>4595.7546231428714</c:v>
                </c:pt>
                <c:pt idx="10">
                  <c:v>5964.854915030267</c:v>
                </c:pt>
                <c:pt idx="11">
                  <c:v>11147.868839555307</c:v>
                </c:pt>
                <c:pt idx="12">
                  <c:v>12884.782312267867</c:v>
                </c:pt>
                <c:pt idx="13">
                  <c:v>17205.65287496581</c:v>
                </c:pt>
              </c:numCache>
            </c:numRef>
          </c:yVal>
          <c:smooth val="0"/>
          <c:extLst>
            <c:ext xmlns:c16="http://schemas.microsoft.com/office/drawing/2014/chart" uri="{C3380CC4-5D6E-409C-BE32-E72D297353CC}">
              <c16:uniqueId val="{00000001-DD2E-4691-B90C-1B033E99FB92}"/>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trendline>
            <c:spPr>
              <a:ln w="38100" cap="rnd">
                <a:solidFill>
                  <a:schemeClr val="tx1"/>
                </a:solidFill>
                <a:prstDash val="sysDot"/>
              </a:ln>
              <a:effectLst/>
            </c:spPr>
            <c:trendlineType val="linear"/>
            <c:intercept val="0"/>
            <c:dispRSqr val="0"/>
            <c:dispEq val="1"/>
            <c:trendlineLbl>
              <c:layout>
                <c:manualLayout>
                  <c:x val="-0.20292239079871113"/>
                  <c:y val="0.10115226687385347"/>
                </c:manualLayout>
              </c:layout>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aseline="0"/>
                      <a:t>y = 1300x</a:t>
                    </a:r>
                    <a:endParaRPr lang="en-US" sz="1200"/>
                  </a:p>
                </c:rich>
              </c:tx>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'High-EE Detailed'!$B$227:$P$227</c:f>
              <c:numCache>
                <c:formatCode>0</c:formatCode>
                <c:ptCount val="15"/>
                <c:pt idx="0" formatCode="General">
                  <c:v>0</c:v>
                </c:pt>
                <c:pt idx="1">
                  <c:v>0</c:v>
                </c:pt>
                <c:pt idx="2">
                  <c:v>1</c:v>
                </c:pt>
                <c:pt idx="3">
                  <c:v>1</c:v>
                </c:pt>
                <c:pt idx="4">
                  <c:v>2</c:v>
                </c:pt>
                <c:pt idx="5">
                  <c:v>3</c:v>
                </c:pt>
                <c:pt idx="6">
                  <c:v>3</c:v>
                </c:pt>
                <c:pt idx="7">
                  <c:v>4</c:v>
                </c:pt>
                <c:pt idx="8">
                  <c:v>4</c:v>
                </c:pt>
                <c:pt idx="9">
                  <c:v>8</c:v>
                </c:pt>
                <c:pt idx="10">
                  <c:v>9</c:v>
                </c:pt>
                <c:pt idx="11">
                  <c:v>9</c:v>
                </c:pt>
                <c:pt idx="12">
                  <c:v>11</c:v>
                </c:pt>
                <c:pt idx="13">
                  <c:v>14</c:v>
                </c:pt>
                <c:pt idx="14">
                  <c:v>14</c:v>
                </c:pt>
              </c:numCache>
            </c:numRef>
          </c:xVal>
          <c:yVal>
            <c:numRef>
              <c:f>'High-EE Detailed'!$B$55:$P$55</c:f>
              <c:numCache>
                <c:formatCode>#,##0.00</c:formatCode>
                <c:ptCount val="15"/>
                <c:pt idx="0">
                  <c:v>172.58744704367928</c:v>
                </c:pt>
                <c:pt idx="1">
                  <c:v>172.59494789327437</c:v>
                </c:pt>
                <c:pt idx="2">
                  <c:v>278.31621668062326</c:v>
                </c:pt>
                <c:pt idx="3">
                  <c:v>1026.0634252216496</c:v>
                </c:pt>
                <c:pt idx="4">
                  <c:v>1667.6887056587639</c:v>
                </c:pt>
                <c:pt idx="5">
                  <c:v>3817.4784290710049</c:v>
                </c:pt>
                <c:pt idx="6">
                  <c:v>3817.4774105210199</c:v>
                </c:pt>
                <c:pt idx="7">
                  <c:v>4913.4167666212197</c:v>
                </c:pt>
                <c:pt idx="8">
                  <c:v>4913.7276921337943</c:v>
                </c:pt>
                <c:pt idx="9">
                  <c:v>10475.445030902043</c:v>
                </c:pt>
                <c:pt idx="10">
                  <c:v>12187.047511312143</c:v>
                </c:pt>
                <c:pt idx="11">
                  <c:v>12160.570508535016</c:v>
                </c:pt>
                <c:pt idx="12">
                  <c:v>14246.324914604003</c:v>
                </c:pt>
                <c:pt idx="13">
                  <c:v>18303.90262009099</c:v>
                </c:pt>
                <c:pt idx="14">
                  <c:v>18268.645053311669</c:v>
                </c:pt>
              </c:numCache>
            </c:numRef>
          </c:yVal>
          <c:smooth val="0"/>
          <c:extLst>
            <c:ext xmlns:c16="http://schemas.microsoft.com/office/drawing/2014/chart" uri="{C3380CC4-5D6E-409C-BE32-E72D297353CC}">
              <c16:uniqueId val="{00000002-DD2E-4691-B90C-1B033E99FB92}"/>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Heating Stoves (6kW each)</a:t>
                </a:r>
              </a:p>
            </c:rich>
          </c:tx>
          <c:layout>
            <c:manualLayout>
              <c:xMode val="edge"/>
              <c:yMode val="edge"/>
              <c:x val="0.34347335851311267"/>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Heating Fuel Saved by Stoves</a:t>
                </a:r>
              </a:p>
              <a:p>
                <a:pPr>
                  <a:defRPr/>
                </a:pPr>
                <a:r>
                  <a:rPr lang="en-US" baseline="0"/>
                  <a:t>(GHFE/year)</a:t>
                </a:r>
                <a:endParaRPr lang="en-US"/>
              </a:p>
            </c:rich>
          </c:tx>
          <c:layout>
            <c:manualLayout>
              <c:xMode val="edge"/>
              <c:yMode val="edge"/>
              <c:x val="3.7035273029895656E-2"/>
              <c:y val="0.243667235226953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65564560527495042"/>
          <c:h val="9.728580356190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Discount Rate, Fuel Cost Sensitivity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1796793814038741E-2"/>
          <c:w val="0.83095013123359585"/>
          <c:h val="0.63080382199827123"/>
        </c:manualLayout>
      </c:layout>
      <c:scatterChart>
        <c:scatterStyle val="smoothMarker"/>
        <c:varyColors val="0"/>
        <c:ser>
          <c:idx val="0"/>
          <c:order val="0"/>
          <c:tx>
            <c:strRef>
              <c:f>'Fuel Cost Sensitivity'!$A$45</c:f>
              <c:strCache>
                <c:ptCount val="1"/>
                <c:pt idx="0">
                  <c:v>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Sensitivity'!$B$45:$F$45</c:f>
              <c:numCache>
                <c:formatCode>"$"#,##0</c:formatCode>
                <c:ptCount val="5"/>
                <c:pt idx="0">
                  <c:v>2135671.7071282198</c:v>
                </c:pt>
                <c:pt idx="1">
                  <c:v>3904401.8759756424</c:v>
                </c:pt>
                <c:pt idx="2">
                  <c:v>5673132.0448230663</c:v>
                </c:pt>
                <c:pt idx="3">
                  <c:v>11568899.274314471</c:v>
                </c:pt>
                <c:pt idx="4">
                  <c:v>17464666.503805876</c:v>
                </c:pt>
              </c:numCache>
            </c:numRef>
          </c:yVal>
          <c:smooth val="0"/>
          <c:extLst>
            <c:ext xmlns:c16="http://schemas.microsoft.com/office/drawing/2014/chart" uri="{C3380CC4-5D6E-409C-BE32-E72D297353CC}">
              <c16:uniqueId val="{00000000-79B5-477C-8821-248946587F6E}"/>
            </c:ext>
          </c:extLst>
        </c:ser>
        <c:ser>
          <c:idx val="2"/>
          <c:order val="1"/>
          <c:tx>
            <c:strRef>
              <c:f>'Fuel Cost Sensitivity'!$A$46</c:f>
              <c:strCache>
                <c:ptCount val="1"/>
                <c:pt idx="0">
                  <c:v>med </c:v>
                </c:pt>
              </c:strCache>
            </c:strRef>
          </c:tx>
          <c:spPr>
            <a:ln w="28575" cap="rnd">
              <a:solidFill>
                <a:srgbClr val="00B050"/>
              </a:solidFill>
              <a:round/>
            </a:ln>
            <a:effectLst/>
          </c:spPr>
          <c:marker>
            <c:symbol val="circle"/>
            <c:size val="5"/>
            <c:spPr>
              <a:solidFill>
                <a:srgbClr val="00B050"/>
              </a:solidFill>
              <a:ln w="9525">
                <a:solidFill>
                  <a:srgbClr val="00B050"/>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Sensitivity'!$B$46:$F$46</c:f>
              <c:numCache>
                <c:formatCode>"$"#,##0</c:formatCode>
                <c:ptCount val="5"/>
                <c:pt idx="0">
                  <c:v>2327047.6801361549</c:v>
                </c:pt>
                <c:pt idx="1">
                  <c:v>4302934.5034550745</c:v>
                </c:pt>
                <c:pt idx="2">
                  <c:v>6278821.326773989</c:v>
                </c:pt>
                <c:pt idx="3">
                  <c:v>12865110.737837046</c:v>
                </c:pt>
                <c:pt idx="4">
                  <c:v>19451400.148900095</c:v>
                </c:pt>
              </c:numCache>
            </c:numRef>
          </c:yVal>
          <c:smooth val="0"/>
          <c:extLst>
            <c:ext xmlns:c16="http://schemas.microsoft.com/office/drawing/2014/chart" uri="{C3380CC4-5D6E-409C-BE32-E72D297353CC}">
              <c16:uniqueId val="{00000001-79B5-477C-8821-248946587F6E}"/>
            </c:ext>
          </c:extLst>
        </c:ser>
        <c:ser>
          <c:idx val="1"/>
          <c:order val="2"/>
          <c:tx>
            <c:strRef>
              <c:f>'Fuel Cost Sensitivity'!$A$47</c:f>
              <c:strCache>
                <c:ptCount val="1"/>
                <c:pt idx="0">
                  <c:v>high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Sensitivity'!$B$47:$F$47</c:f>
              <c:numCache>
                <c:formatCode>"$"#,##0</c:formatCode>
                <c:ptCount val="5"/>
                <c:pt idx="0">
                  <c:v>2341673.5693105664</c:v>
                </c:pt>
                <c:pt idx="1">
                  <c:v>4447852.4612400029</c:v>
                </c:pt>
                <c:pt idx="2">
                  <c:v>6554031.3531694384</c:v>
                </c:pt>
                <c:pt idx="3">
                  <c:v>13574627.659600889</c:v>
                </c:pt>
                <c:pt idx="4">
                  <c:v>20595223.966032337</c:v>
                </c:pt>
              </c:numCache>
            </c:numRef>
          </c:yVal>
          <c:smooth val="0"/>
          <c:extLst>
            <c:ext xmlns:c16="http://schemas.microsoft.com/office/drawing/2014/chart" uri="{C3380CC4-5D6E-409C-BE32-E72D297353CC}">
              <c16:uniqueId val="{00000002-79B5-477C-8821-248946587F6E}"/>
            </c:ext>
          </c:extLst>
        </c:ser>
        <c:ser>
          <c:idx val="3"/>
          <c:order val="3"/>
          <c:tx>
            <c:strRef>
              <c:f>'Fuel Cost Sensitivity'!$A$58</c:f>
              <c:strCache>
                <c:ptCount val="1"/>
                <c:pt idx="0">
                  <c:v>low, no stove</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Sensitivity'!$B$49:$F$49</c:f>
              <c:numCache>
                <c:formatCode>"$"#,##0</c:formatCode>
                <c:ptCount val="5"/>
                <c:pt idx="0">
                  <c:v>1684317.5850208113</c:v>
                </c:pt>
                <c:pt idx="1">
                  <c:v>2341242.9157374864</c:v>
                </c:pt>
                <c:pt idx="2">
                  <c:v>3764477.7382334638</c:v>
                </c:pt>
                <c:pt idx="3">
                  <c:v>9111966.3970968537</c:v>
                </c:pt>
                <c:pt idx="4">
                  <c:v>14459455.055960242</c:v>
                </c:pt>
              </c:numCache>
            </c:numRef>
          </c:yVal>
          <c:smooth val="0"/>
          <c:extLst>
            <c:ext xmlns:c16="http://schemas.microsoft.com/office/drawing/2014/chart" uri="{C3380CC4-5D6E-409C-BE32-E72D297353CC}">
              <c16:uniqueId val="{00000003-79B5-477C-8821-248946587F6E}"/>
            </c:ext>
          </c:extLst>
        </c:ser>
        <c:ser>
          <c:idx val="4"/>
          <c:order val="4"/>
          <c:tx>
            <c:strRef>
              <c:f>'Fuel Cost Sensitivity'!$A$59</c:f>
              <c:strCache>
                <c:ptCount val="1"/>
                <c:pt idx="0">
                  <c:v>med, no stove</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Sensitivity'!$B$50:$F$50</c:f>
              <c:numCache>
                <c:formatCode>"$"#,##0</c:formatCode>
                <c:ptCount val="5"/>
                <c:pt idx="0">
                  <c:v>1725796.6319505824</c:v>
                </c:pt>
                <c:pt idx="1">
                  <c:v>3049423.523221083</c:v>
                </c:pt>
                <c:pt idx="2">
                  <c:v>4799940.1946053002</c:v>
                </c:pt>
                <c:pt idx="3">
                  <c:v>10634995.765886026</c:v>
                </c:pt>
                <c:pt idx="4">
                  <c:v>16470051.337166745</c:v>
                </c:pt>
              </c:numCache>
            </c:numRef>
          </c:yVal>
          <c:smooth val="0"/>
          <c:extLst>
            <c:ext xmlns:c16="http://schemas.microsoft.com/office/drawing/2014/chart" uri="{C3380CC4-5D6E-409C-BE32-E72D297353CC}">
              <c16:uniqueId val="{00000004-79B5-477C-8821-248946587F6E}"/>
            </c:ext>
          </c:extLst>
        </c:ser>
        <c:ser>
          <c:idx val="5"/>
          <c:order val="5"/>
          <c:tx>
            <c:strRef>
              <c:f>'Fuel Cost Sensitivity'!$A$60</c:f>
              <c:strCache>
                <c:ptCount val="1"/>
                <c:pt idx="0">
                  <c:v>high, no stove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Sensitivity'!$B$51:$F$51</c:f>
              <c:numCache>
                <c:formatCode>"$"#,##0</c:formatCode>
                <c:ptCount val="5"/>
                <c:pt idx="0">
                  <c:v>1322068.295446828</c:v>
                </c:pt>
                <c:pt idx="1">
                  <c:v>2711948.2059548981</c:v>
                </c:pt>
                <c:pt idx="2">
                  <c:v>4661481.2968909955</c:v>
                </c:pt>
                <c:pt idx="3">
                  <c:v>11159924.933344644</c:v>
                </c:pt>
                <c:pt idx="4">
                  <c:v>17658368.569798298</c:v>
                </c:pt>
              </c:numCache>
            </c:numRef>
          </c:yVal>
          <c:smooth val="0"/>
          <c:extLst>
            <c:ext xmlns:c16="http://schemas.microsoft.com/office/drawing/2014/chart" uri="{C3380CC4-5D6E-409C-BE32-E72D297353CC}">
              <c16:uniqueId val="{00000005-79B5-477C-8821-248946587F6E}"/>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Fule Cost Adjustment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Marginal NPV (includes capital cost)</a:t>
                </a:r>
              </a:p>
            </c:rich>
          </c:tx>
          <c:layout>
            <c:manualLayout>
              <c:xMode val="edge"/>
              <c:yMode val="edge"/>
              <c:x val="3.4882874251661151E-2"/>
              <c:y val="9.887082074341653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65564560527495042"/>
          <c:h val="9.728580356190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'[1]Genset Capital Costs'!$P$3</c:f>
              <c:strCache>
                <c:ptCount val="1"/>
                <c:pt idx="0">
                  <c:v>IES ($)</c:v>
                </c:pt>
              </c:strCache>
            </c:strRef>
          </c:tx>
          <c:spPr>
            <a:ln w="28575">
              <a:noFill/>
            </a:ln>
          </c:spPr>
          <c:trendline>
            <c:trendlineType val="linear"/>
            <c:dispRSqr val="0"/>
            <c:dispEq val="1"/>
            <c:trendlineLbl>
              <c:layout>
                <c:manualLayout>
                  <c:x val="-0.18274906588078538"/>
                  <c:y val="0.55517825896762907"/>
                </c:manualLayout>
              </c:layout>
              <c:numFmt formatCode="General" sourceLinked="0"/>
            </c:trendlineLbl>
          </c:trendline>
          <c:xVal>
            <c:numRef>
              <c:f>'[1]Genset Capital Costs'!$O$4:$O$7</c:f>
              <c:numCache>
                <c:formatCode>General</c:formatCode>
                <c:ptCount val="4"/>
                <c:pt idx="0">
                  <c:v>180</c:v>
                </c:pt>
                <c:pt idx="1">
                  <c:v>370</c:v>
                </c:pt>
                <c:pt idx="2">
                  <c:v>500</c:v>
                </c:pt>
                <c:pt idx="3">
                  <c:v>750</c:v>
                </c:pt>
              </c:numCache>
            </c:numRef>
          </c:xVal>
          <c:yVal>
            <c:numRef>
              <c:f>'[1]Genset Capital Costs'!$P$4:$P$7</c:f>
              <c:numCache>
                <c:formatCode>General</c:formatCode>
                <c:ptCount val="4"/>
                <c:pt idx="0">
                  <c:v>74000</c:v>
                </c:pt>
                <c:pt idx="1">
                  <c:v>152000</c:v>
                </c:pt>
              </c:numCache>
            </c:numRef>
          </c:yVal>
          <c:smooth val="0"/>
          <c:extLst>
            <c:ext xmlns:c16="http://schemas.microsoft.com/office/drawing/2014/chart" uri="{C3380CC4-5D6E-409C-BE32-E72D297353CC}">
              <c16:uniqueId val="{00000000-8D4B-4988-94C9-D7DE9DA08AE0}"/>
            </c:ext>
          </c:extLst>
        </c:ser>
        <c:ser>
          <c:idx val="1"/>
          <c:order val="1"/>
          <c:tx>
            <c:strRef>
              <c:f>'[1]Genset Capital Costs'!$Q$3</c:f>
              <c:strCache>
                <c:ptCount val="1"/>
                <c:pt idx="0">
                  <c:v>Bill Stamm ($)</c:v>
                </c:pt>
              </c:strCache>
            </c:strRef>
          </c:tx>
          <c:spPr>
            <a:ln w="28575">
              <a:noFill/>
            </a:ln>
          </c:spPr>
          <c:trendline>
            <c:trendlineType val="linear"/>
            <c:dispRSqr val="0"/>
            <c:dispEq val="1"/>
            <c:trendlineLbl>
              <c:layout>
                <c:manualLayout>
                  <c:x val="-7.6312669861412386E-2"/>
                  <c:y val="4.0135608048993875E-2"/>
                </c:manualLayout>
              </c:layout>
              <c:numFmt formatCode="General" sourceLinked="0"/>
            </c:trendlineLbl>
          </c:trendline>
          <c:xVal>
            <c:numRef>
              <c:f>'[1]Genset Capital Costs'!$O$4:$O$7</c:f>
              <c:numCache>
                <c:formatCode>General</c:formatCode>
                <c:ptCount val="4"/>
                <c:pt idx="0">
                  <c:v>180</c:v>
                </c:pt>
                <c:pt idx="1">
                  <c:v>370</c:v>
                </c:pt>
                <c:pt idx="2">
                  <c:v>500</c:v>
                </c:pt>
                <c:pt idx="3">
                  <c:v>750</c:v>
                </c:pt>
              </c:numCache>
            </c:numRef>
          </c:xVal>
          <c:yVal>
            <c:numRef>
              <c:f>'[1]Genset Capital Costs'!$Q$4:$Q$7</c:f>
              <c:numCache>
                <c:formatCode>General</c:formatCode>
                <c:ptCount val="4"/>
                <c:pt idx="2">
                  <c:v>205000</c:v>
                </c:pt>
                <c:pt idx="3">
                  <c:v>290000</c:v>
                </c:pt>
              </c:numCache>
            </c:numRef>
          </c:yVal>
          <c:smooth val="0"/>
          <c:extLst>
            <c:ext xmlns:c16="http://schemas.microsoft.com/office/drawing/2014/chart" uri="{C3380CC4-5D6E-409C-BE32-E72D297353CC}">
              <c16:uniqueId val="{00000001-8D4B-4988-94C9-D7DE9DA08AE0}"/>
            </c:ext>
          </c:extLst>
        </c:ser>
        <c:dLbls>
          <c:showLegendKey val="0"/>
          <c:showVal val="0"/>
          <c:showCatName val="0"/>
          <c:showSerName val="0"/>
          <c:showPercent val="0"/>
          <c:showBubbleSize val="0"/>
        </c:dLbls>
        <c:axId val="157903872"/>
        <c:axId val="157922048"/>
      </c:scatterChart>
      <c:valAx>
        <c:axId val="157903872"/>
        <c:scaling>
          <c:orientation val="minMax"/>
        </c:scaling>
        <c:delete val="0"/>
        <c:axPos val="b"/>
        <c:numFmt formatCode="General" sourceLinked="1"/>
        <c:majorTickMark val="out"/>
        <c:minorTickMark val="none"/>
        <c:tickLblPos val="nextTo"/>
        <c:crossAx val="157922048"/>
        <c:crosses val="autoZero"/>
        <c:crossBetween val="midCat"/>
      </c:valAx>
      <c:valAx>
        <c:axId val="157922048"/>
        <c:scaling>
          <c:orientation val="minMax"/>
        </c:scaling>
        <c:delete val="0"/>
        <c:axPos val="l"/>
        <c:majorGridlines/>
        <c:numFmt formatCode="General" sourceLinked="1"/>
        <c:majorTickMark val="out"/>
        <c:minorTickMark val="none"/>
        <c:tickLblPos val="nextTo"/>
        <c:crossAx val="157903872"/>
        <c:crosses val="autoZero"/>
        <c:crossBetween val="midCat"/>
      </c:valAx>
      <c:spPr>
        <a:ln>
          <a:solidFill>
            <a:schemeClr val="accent1"/>
          </a:solidFill>
        </a:ln>
      </c:spPr>
    </c:plotArea>
    <c:legend>
      <c:legendPos val="r"/>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7% Discount Rate, Fuel Cost Sensitivity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9.1796793814038741E-2"/>
          <c:w val="0.83095013123359585"/>
          <c:h val="0.63080382199827123"/>
        </c:manualLayout>
      </c:layout>
      <c:scatterChart>
        <c:scatterStyle val="smoothMarker"/>
        <c:varyColors val="0"/>
        <c:ser>
          <c:idx val="0"/>
          <c:order val="0"/>
          <c:tx>
            <c:strRef>
              <c:f>'Fuel Cost Sensitivity'!$A$45</c:f>
              <c:strCache>
                <c:ptCount val="1"/>
                <c:pt idx="0">
                  <c:v>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Sensitivity'!$H$45:$L$45</c:f>
              <c:numCache>
                <c:formatCode>"$"#,##0</c:formatCode>
                <c:ptCount val="5"/>
                <c:pt idx="0">
                  <c:v>582954.52349439845</c:v>
                </c:pt>
                <c:pt idx="1">
                  <c:v>1266721.5294365536</c:v>
                </c:pt>
                <c:pt idx="2">
                  <c:v>2531507.7695087539</c:v>
                </c:pt>
                <c:pt idx="3">
                  <c:v>6747461.9030827619</c:v>
                </c:pt>
                <c:pt idx="4">
                  <c:v>10963416.036656767</c:v>
                </c:pt>
              </c:numCache>
            </c:numRef>
          </c:yVal>
          <c:smooth val="0"/>
          <c:extLst>
            <c:ext xmlns:c16="http://schemas.microsoft.com/office/drawing/2014/chart" uri="{C3380CC4-5D6E-409C-BE32-E72D297353CC}">
              <c16:uniqueId val="{00000000-A70D-4DD4-B369-1E2938D5C97A}"/>
            </c:ext>
          </c:extLst>
        </c:ser>
        <c:ser>
          <c:idx val="2"/>
          <c:order val="1"/>
          <c:tx>
            <c:strRef>
              <c:f>'Fuel Cost Sensitivity'!$A$46</c:f>
              <c:strCache>
                <c:ptCount val="1"/>
                <c:pt idx="0">
                  <c:v>med </c:v>
                </c:pt>
              </c:strCache>
            </c:strRef>
          </c:tx>
          <c:spPr>
            <a:ln w="28575" cap="rnd">
              <a:solidFill>
                <a:srgbClr val="00B050"/>
              </a:solidFill>
              <a:round/>
            </a:ln>
            <a:effectLst/>
          </c:spPr>
          <c:marker>
            <c:symbol val="circle"/>
            <c:size val="5"/>
            <c:spPr>
              <a:solidFill>
                <a:srgbClr val="00B050"/>
              </a:solidFill>
              <a:ln w="9525">
                <a:solidFill>
                  <a:srgbClr val="00B050"/>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Sensitivity'!$H$46:$L$46</c:f>
              <c:numCache>
                <c:formatCode>"$"#,##0</c:formatCode>
                <c:ptCount val="5"/>
                <c:pt idx="0">
                  <c:v>549273.03376367339</c:v>
                </c:pt>
                <c:pt idx="1">
                  <c:v>1303310.4576791732</c:v>
                </c:pt>
                <c:pt idx="2">
                  <c:v>2716230.5910549918</c:v>
                </c:pt>
                <c:pt idx="3">
                  <c:v>7425964.3689743998</c:v>
                </c:pt>
                <c:pt idx="4">
                  <c:v>12135698.146893809</c:v>
                </c:pt>
              </c:numCache>
            </c:numRef>
          </c:yVal>
          <c:smooth val="0"/>
          <c:extLst>
            <c:ext xmlns:c16="http://schemas.microsoft.com/office/drawing/2014/chart" uri="{C3380CC4-5D6E-409C-BE32-E72D297353CC}">
              <c16:uniqueId val="{00000001-A70D-4DD4-B369-1E2938D5C97A}"/>
            </c:ext>
          </c:extLst>
        </c:ser>
        <c:ser>
          <c:idx val="1"/>
          <c:order val="2"/>
          <c:tx>
            <c:strRef>
              <c:f>'Fuel Cost Sensitivity'!$A$47</c:f>
              <c:strCache>
                <c:ptCount val="1"/>
                <c:pt idx="0">
                  <c:v>high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Sensitivity'!$H$47:$L$47</c:f>
              <c:numCache>
                <c:formatCode>"$"#,##0</c:formatCode>
                <c:ptCount val="5"/>
                <c:pt idx="0">
                  <c:v>-305086.37572014355</c:v>
                </c:pt>
                <c:pt idx="1">
                  <c:v>1100376.9659265063</c:v>
                </c:pt>
                <c:pt idx="2">
                  <c:v>2606466.5484764269</c:v>
                </c:pt>
                <c:pt idx="3">
                  <c:v>7626765.1569761671</c:v>
                </c:pt>
                <c:pt idx="4">
                  <c:v>12647063.76547591</c:v>
                </c:pt>
              </c:numCache>
            </c:numRef>
          </c:yVal>
          <c:smooth val="0"/>
          <c:extLst>
            <c:ext xmlns:c16="http://schemas.microsoft.com/office/drawing/2014/chart" uri="{C3380CC4-5D6E-409C-BE32-E72D297353CC}">
              <c16:uniqueId val="{00000002-A70D-4DD4-B369-1E2938D5C97A}"/>
            </c:ext>
          </c:extLst>
        </c:ser>
        <c:ser>
          <c:idx val="3"/>
          <c:order val="3"/>
          <c:tx>
            <c:strRef>
              <c:f>'Fuel Cost Sensitivity'!$A$58</c:f>
              <c:strCache>
                <c:ptCount val="1"/>
                <c:pt idx="0">
                  <c:v>low, no stove</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Sensitivity'!$H$49:$L$49</c:f>
              <c:numCache>
                <c:formatCode>"$"#,##0</c:formatCode>
                <c:ptCount val="5"/>
                <c:pt idx="0">
                  <c:v>789663.15489736875</c:v>
                </c:pt>
                <c:pt idx="1">
                  <c:v>1259418.3123992954</c:v>
                </c:pt>
                <c:pt idx="2">
                  <c:v>1729173.4699012188</c:v>
                </c:pt>
                <c:pt idx="3">
                  <c:v>4860808.3449125867</c:v>
                </c:pt>
                <c:pt idx="4">
                  <c:v>8684698.6102547012</c:v>
                </c:pt>
              </c:numCache>
            </c:numRef>
          </c:yVal>
          <c:smooth val="0"/>
          <c:extLst>
            <c:ext xmlns:c16="http://schemas.microsoft.com/office/drawing/2014/chart" uri="{C3380CC4-5D6E-409C-BE32-E72D297353CC}">
              <c16:uniqueId val="{00000003-A70D-4DD4-B369-1E2938D5C97A}"/>
            </c:ext>
          </c:extLst>
        </c:ser>
        <c:ser>
          <c:idx val="4"/>
          <c:order val="4"/>
          <c:tx>
            <c:strRef>
              <c:f>'Fuel Cost Sensitivity'!$A$59</c:f>
              <c:strCache>
                <c:ptCount val="1"/>
                <c:pt idx="0">
                  <c:v>med, no stove</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Sensitivity'!$H$50:$L$50</c:f>
              <c:numCache>
                <c:formatCode>"$"#,##0</c:formatCode>
                <c:ptCount val="5"/>
                <c:pt idx="0">
                  <c:v>555432.24399334122</c:v>
                </c:pt>
                <c:pt idx="1">
                  <c:v>1178026.4616077209</c:v>
                </c:pt>
                <c:pt idx="2">
                  <c:v>1800620.6792221006</c:v>
                </c:pt>
                <c:pt idx="3">
                  <c:v>5841075.2604757864</c:v>
                </c:pt>
                <c:pt idx="4">
                  <c:v>10013615.609816739</c:v>
                </c:pt>
              </c:numCache>
            </c:numRef>
          </c:yVal>
          <c:smooth val="0"/>
          <c:extLst>
            <c:ext xmlns:c16="http://schemas.microsoft.com/office/drawing/2014/chart" uri="{C3380CC4-5D6E-409C-BE32-E72D297353CC}">
              <c16:uniqueId val="{00000004-A70D-4DD4-B369-1E2938D5C97A}"/>
            </c:ext>
          </c:extLst>
        </c:ser>
        <c:ser>
          <c:idx val="5"/>
          <c:order val="5"/>
          <c:tx>
            <c:strRef>
              <c:f>'Fuel Cost Sensitivity'!$A$51</c:f>
              <c:strCache>
                <c:ptCount val="1"/>
                <c:pt idx="0">
                  <c:v>high, no stove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'Fuel Cost Sensitivity'!$B$63:$F$63</c:f>
              <c:numCache>
                <c:formatCode>0%</c:formatCode>
                <c:ptCount val="5"/>
                <c:pt idx="0">
                  <c:v>-0.3</c:v>
                </c:pt>
                <c:pt idx="1">
                  <c:v>-0.15</c:v>
                </c:pt>
                <c:pt idx="2">
                  <c:v>0</c:v>
                </c:pt>
                <c:pt idx="3">
                  <c:v>0.5</c:v>
                </c:pt>
                <c:pt idx="4">
                  <c:v>1</c:v>
                </c:pt>
              </c:numCache>
            </c:numRef>
          </c:xVal>
          <c:yVal>
            <c:numRef>
              <c:f>'Fuel Cost Sensitivity'!$H$51:$L$51</c:f>
              <c:numCache>
                <c:formatCode>"$"#,##0</c:formatCode>
                <c:ptCount val="5"/>
                <c:pt idx="0">
                  <c:v>-162837.90184021485</c:v>
                </c:pt>
                <c:pt idx="1">
                  <c:v>610042.59044294129</c:v>
                </c:pt>
                <c:pt idx="2">
                  <c:v>1382923.0827260951</c:v>
                </c:pt>
                <c:pt idx="3">
                  <c:v>5770630.5710021965</c:v>
                </c:pt>
                <c:pt idx="4">
                  <c:v>10417547.459759332</c:v>
                </c:pt>
              </c:numCache>
            </c:numRef>
          </c:yVal>
          <c:smooth val="0"/>
          <c:extLst>
            <c:ext xmlns:c16="http://schemas.microsoft.com/office/drawing/2014/chart" uri="{C3380CC4-5D6E-409C-BE32-E72D297353CC}">
              <c16:uniqueId val="{00000005-A70D-4DD4-B369-1E2938D5C97A}"/>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Fule Cost Adjustment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Marginal NPV (includes capital cost)</a:t>
                </a:r>
              </a:p>
            </c:rich>
          </c:tx>
          <c:layout>
            <c:manualLayout>
              <c:xMode val="edge"/>
              <c:yMode val="edge"/>
              <c:x val="3.4882874251661151E-2"/>
              <c:y val="9.887082074341653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cross"/>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032712375"/>
          <c:y val="0.87556486872243056"/>
          <c:w val="0.65564560527495042"/>
          <c:h val="9.728580356190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20150225124298"/>
          <c:y val="5.5564827494389291E-2"/>
          <c:w val="0.83095013123359585"/>
          <c:h val="0.66703564228384493"/>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Detailed'!$B$331:$P$331</c:f>
              <c:numCache>
                <c:formatCode>0.00%</c:formatCode>
                <c:ptCount val="15"/>
                <c:pt idx="0">
                  <c:v>0.12102113157738981</c:v>
                </c:pt>
                <c:pt idx="1">
                  <c:v>0.17969965041783353</c:v>
                </c:pt>
                <c:pt idx="2">
                  <c:v>0.20680530143989739</c:v>
                </c:pt>
                <c:pt idx="3">
                  <c:v>0.20727683024229959</c:v>
                </c:pt>
                <c:pt idx="4">
                  <c:v>0.29383246077935499</c:v>
                </c:pt>
                <c:pt idx="5">
                  <c:v>0.25115620211553313</c:v>
                </c:pt>
                <c:pt idx="6">
                  <c:v>0.25162945064914988</c:v>
                </c:pt>
                <c:pt idx="7">
                  <c:v>0.33443617462158592</c:v>
                </c:pt>
                <c:pt idx="8">
                  <c:v>0.33273691895676316</c:v>
                </c:pt>
                <c:pt idx="9">
                  <c:v>0.40964969412397345</c:v>
                </c:pt>
                <c:pt idx="10">
                  <c:v>0.58241760011277011</c:v>
                </c:pt>
                <c:pt idx="11">
                  <c:v>0.58098715993342909</c:v>
                </c:pt>
                <c:pt idx="12">
                  <c:v>0.60292711457804815</c:v>
                </c:pt>
                <c:pt idx="13">
                  <c:v>0.5682340094371845</c:v>
                </c:pt>
                <c:pt idx="14">
                  <c:v>0.62979979576213463</c:v>
                </c:pt>
              </c:numCache>
            </c:numRef>
          </c:yVal>
          <c:smooth val="0"/>
          <c:extLst>
            <c:ext xmlns:c16="http://schemas.microsoft.com/office/drawing/2014/chart" uri="{C3380CC4-5D6E-409C-BE32-E72D297353CC}">
              <c16:uniqueId val="{00000000-C728-423A-9505-736AE9E727E8}"/>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Detailed'!$B$331:$O$331</c:f>
              <c:numCache>
                <c:formatCode>0.00%</c:formatCode>
                <c:ptCount val="14"/>
                <c:pt idx="0">
                  <c:v>0.18951144780676943</c:v>
                </c:pt>
                <c:pt idx="1">
                  <c:v>0.1899838902163794</c:v>
                </c:pt>
                <c:pt idx="2">
                  <c:v>0.2480552901964701</c:v>
                </c:pt>
                <c:pt idx="3">
                  <c:v>0.24852649649453107</c:v>
                </c:pt>
                <c:pt idx="4">
                  <c:v>0.27581051594324735</c:v>
                </c:pt>
                <c:pt idx="5">
                  <c:v>0.27580949485283868</c:v>
                </c:pt>
                <c:pt idx="6">
                  <c:v>0.27581040846004645</c:v>
                </c:pt>
                <c:pt idx="7">
                  <c:v>0.3615580340342438</c:v>
                </c:pt>
                <c:pt idx="8">
                  <c:v>0.31927554007696402</c:v>
                </c:pt>
                <c:pt idx="9">
                  <c:v>0.40215744854843827</c:v>
                </c:pt>
                <c:pt idx="10">
                  <c:v>0.47853764440038959</c:v>
                </c:pt>
                <c:pt idx="11">
                  <c:v>0.64707060484477985</c:v>
                </c:pt>
                <c:pt idx="12">
                  <c:v>0.66083452736240356</c:v>
                </c:pt>
                <c:pt idx="13">
                  <c:v>0.69498984030750255</c:v>
                </c:pt>
              </c:numCache>
            </c:numRef>
          </c:yVal>
          <c:smooth val="0"/>
          <c:extLst>
            <c:ext xmlns:c16="http://schemas.microsoft.com/office/drawing/2014/chart" uri="{C3380CC4-5D6E-409C-BE32-E72D297353CC}">
              <c16:uniqueId val="{00000001-C728-423A-9505-736AE9E727E8}"/>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Detailed'!$B$331:$P$331</c:f>
              <c:numCache>
                <c:formatCode>0.00%</c:formatCode>
                <c:ptCount val="15"/>
                <c:pt idx="0">
                  <c:v>0.25741405476119872</c:v>
                </c:pt>
                <c:pt idx="1">
                  <c:v>0.25741395275184831</c:v>
                </c:pt>
                <c:pt idx="2">
                  <c:v>0.31687430439572817</c:v>
                </c:pt>
                <c:pt idx="3">
                  <c:v>0.34388493479433491</c:v>
                </c:pt>
                <c:pt idx="4">
                  <c:v>0.42874270694817951</c:v>
                </c:pt>
                <c:pt idx="5">
                  <c:v>0.38601953186715932</c:v>
                </c:pt>
                <c:pt idx="6">
                  <c:v>0.38649030828715514</c:v>
                </c:pt>
                <c:pt idx="7">
                  <c:v>0.4689651778767745</c:v>
                </c:pt>
                <c:pt idx="8">
                  <c:v>0.46893470638931589</c:v>
                </c:pt>
                <c:pt idx="9">
                  <c:v>0.68684840506609524</c:v>
                </c:pt>
                <c:pt idx="10">
                  <c:v>0.705915333750329</c:v>
                </c:pt>
                <c:pt idx="11">
                  <c:v>0.70383199234089688</c:v>
                </c:pt>
                <c:pt idx="12">
                  <c:v>0.7253837176638207</c:v>
                </c:pt>
                <c:pt idx="13">
                  <c:v>0.75381667326009971</c:v>
                </c:pt>
                <c:pt idx="14">
                  <c:v>0.75029139096882891</c:v>
                </c:pt>
              </c:numCache>
            </c:numRef>
          </c:yVal>
          <c:smooth val="0"/>
          <c:extLst>
            <c:ext xmlns:c16="http://schemas.microsoft.com/office/drawing/2014/chart" uri="{C3380CC4-5D6E-409C-BE32-E72D297353CC}">
              <c16:uniqueId val="{00000002-C728-423A-9505-736AE9E727E8}"/>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Detailed'!$B$331:$O$331</c:f>
              <c:numCache>
                <c:formatCode>0.00%</c:formatCode>
                <c:ptCount val="14"/>
                <c:pt idx="0">
                  <c:v>0.11947751074498869</c:v>
                </c:pt>
                <c:pt idx="1">
                  <c:v>0.14776851119738654</c:v>
                </c:pt>
                <c:pt idx="2">
                  <c:v>0.1487130527598246</c:v>
                </c:pt>
                <c:pt idx="3">
                  <c:v>0.21115122668243735</c:v>
                </c:pt>
                <c:pt idx="4">
                  <c:v>0.17794516941037453</c:v>
                </c:pt>
                <c:pt idx="5">
                  <c:v>0.20385411722360913</c:v>
                </c:pt>
                <c:pt idx="6">
                  <c:v>0.28802951590060855</c:v>
                </c:pt>
                <c:pt idx="7">
                  <c:v>0.23418048862148022</c:v>
                </c:pt>
                <c:pt idx="8">
                  <c:v>0.23417878078008214</c:v>
                </c:pt>
                <c:pt idx="9">
                  <c:v>0.23417964017463178</c:v>
                </c:pt>
                <c:pt idx="10">
                  <c:v>0.31236311223426072</c:v>
                </c:pt>
                <c:pt idx="11">
                  <c:v>0.38425457150324838</c:v>
                </c:pt>
                <c:pt idx="12">
                  <c:v>0.38292675302320633</c:v>
                </c:pt>
                <c:pt idx="13">
                  <c:v>0.53347489369392265</c:v>
                </c:pt>
              </c:numCache>
            </c:numRef>
          </c:yVal>
          <c:smooth val="0"/>
          <c:extLst>
            <c:ext xmlns:c16="http://schemas.microsoft.com/office/drawing/2014/chart" uri="{C3380CC4-5D6E-409C-BE32-E72D297353CC}">
              <c16:uniqueId val="{00000003-C728-423A-9505-736AE9E727E8}"/>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Detailed'!$B$331:$S$331</c:f>
              <c:numCache>
                <c:formatCode>0.00%</c:formatCode>
                <c:ptCount val="18"/>
                <c:pt idx="0">
                  <c:v>0.1889846889972604</c:v>
                </c:pt>
                <c:pt idx="1">
                  <c:v>0.2168890223026636</c:v>
                </c:pt>
                <c:pt idx="2">
                  <c:v>0.21688889103972542</c:v>
                </c:pt>
                <c:pt idx="3">
                  <c:v>0.27888358838708849</c:v>
                </c:pt>
                <c:pt idx="4">
                  <c:v>0.27808781278343797</c:v>
                </c:pt>
                <c:pt idx="5">
                  <c:v>0.24716550838865792</c:v>
                </c:pt>
                <c:pt idx="6">
                  <c:v>0.24716569439010228</c:v>
                </c:pt>
                <c:pt idx="7">
                  <c:v>0.27090138420126864</c:v>
                </c:pt>
                <c:pt idx="8">
                  <c:v>0.35572100181361921</c:v>
                </c:pt>
                <c:pt idx="9">
                  <c:v>0.30009730610926844</c:v>
                </c:pt>
                <c:pt idx="10">
                  <c:v>0.30009784632358749</c:v>
                </c:pt>
                <c:pt idx="11">
                  <c:v>0.3000977233261638</c:v>
                </c:pt>
                <c:pt idx="12">
                  <c:v>0.37802220498376893</c:v>
                </c:pt>
                <c:pt idx="13">
                  <c:v>0.44421668171157802</c:v>
                </c:pt>
                <c:pt idx="14">
                  <c:v>0.57825388711583581</c:v>
                </c:pt>
                <c:pt idx="15">
                  <c:v>0.59561133452910897</c:v>
                </c:pt>
                <c:pt idx="16">
                  <c:v>0.58593008222680143</c:v>
                </c:pt>
                <c:pt idx="17">
                  <c:v>0.60189551455139223</c:v>
                </c:pt>
              </c:numCache>
            </c:numRef>
          </c:yVal>
          <c:smooth val="0"/>
          <c:extLst>
            <c:ext xmlns:c16="http://schemas.microsoft.com/office/drawing/2014/chart" uri="{C3380CC4-5D6E-409C-BE32-E72D297353CC}">
              <c16:uniqueId val="{00000004-C728-423A-9505-736AE9E727E8}"/>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Detailed'!$B$331:$U$331</c:f>
              <c:numCache>
                <c:formatCode>0.00%</c:formatCode>
                <c:ptCount val="20"/>
                <c:pt idx="0">
                  <c:v>0.25648697654896979</c:v>
                </c:pt>
                <c:pt idx="1">
                  <c:v>0.25648634705614692</c:v>
                </c:pt>
                <c:pt idx="2">
                  <c:v>0.25648694917971659</c:v>
                </c:pt>
                <c:pt idx="3">
                  <c:v>0.28497031169111053</c:v>
                </c:pt>
                <c:pt idx="4">
                  <c:v>0.28544085820937959</c:v>
                </c:pt>
                <c:pt idx="5">
                  <c:v>0.34558253788206494</c:v>
                </c:pt>
                <c:pt idx="6">
                  <c:v>0.31537944434054321</c:v>
                </c:pt>
                <c:pt idx="7">
                  <c:v>0.31537924180806987</c:v>
                </c:pt>
                <c:pt idx="8">
                  <c:v>0.33837064743373346</c:v>
                </c:pt>
                <c:pt idx="9">
                  <c:v>0.33884135274840943</c:v>
                </c:pt>
                <c:pt idx="10">
                  <c:v>0.41970860277949595</c:v>
                </c:pt>
                <c:pt idx="11">
                  <c:v>0.3655039634238697</c:v>
                </c:pt>
                <c:pt idx="12">
                  <c:v>0.36550406195318119</c:v>
                </c:pt>
                <c:pt idx="13">
                  <c:v>0.43947461138405675</c:v>
                </c:pt>
                <c:pt idx="14">
                  <c:v>0.50770614378463597</c:v>
                </c:pt>
                <c:pt idx="15">
                  <c:v>0.64094529624442498</c:v>
                </c:pt>
                <c:pt idx="16">
                  <c:v>0.64019160595820757</c:v>
                </c:pt>
                <c:pt idx="17">
                  <c:v>0.64623902436949043</c:v>
                </c:pt>
                <c:pt idx="18">
                  <c:v>0.64292903109065203</c:v>
                </c:pt>
                <c:pt idx="19">
                  <c:v>0.65703858685785566</c:v>
                </c:pt>
              </c:numCache>
            </c:numRef>
          </c:yVal>
          <c:smooth val="0"/>
          <c:extLst>
            <c:ext xmlns:c16="http://schemas.microsoft.com/office/drawing/2014/chart" uri="{C3380CC4-5D6E-409C-BE32-E72D297353CC}">
              <c16:uniqueId val="{00000005-C728-423A-9505-736AE9E727E8}"/>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Reduction in Imported Fuel (%) </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valAx>
      <c:spPr>
        <a:noFill/>
        <a:ln>
          <a:noFill/>
        </a:ln>
        <a:effectLst/>
      </c:spPr>
    </c:plotArea>
    <c:legend>
      <c:legendPos val="b"/>
      <c:layout>
        <c:manualLayout>
          <c:xMode val="edge"/>
          <c:yMode val="edge"/>
          <c:x val="0.17000909032712375"/>
          <c:y val="0.87556486872243056"/>
          <c:w val="0.65564560527495042"/>
          <c:h val="9.728580356190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0118731258435"/>
          <c:y val="5.5564827494389291E-2"/>
          <c:w val="0.83745033528375257"/>
          <c:h val="0.66703564228384493"/>
        </c:manualLayout>
      </c:layout>
      <c:scatterChart>
        <c:scatterStyle val="smoothMarker"/>
        <c:varyColors val="0"/>
        <c:ser>
          <c:idx val="0"/>
          <c:order val="0"/>
          <c:tx>
            <c:strRef>
              <c:f>'NPV Plotting'!$A$5</c:f>
              <c:strCache>
                <c:ptCount val="1"/>
                <c:pt idx="0">
                  <c:v>Low EE </c:v>
                </c:pt>
              </c:strCache>
            </c:strRef>
          </c:tx>
          <c:spPr>
            <a:ln w="28575" cap="rnd">
              <a:solidFill>
                <a:srgbClr val="0070C0"/>
              </a:solidFill>
              <a:round/>
            </a:ln>
            <a:effectLst/>
          </c:spPr>
          <c:marker>
            <c:symbol val="circle"/>
            <c:size val="5"/>
            <c:spPr>
              <a:solidFill>
                <a:schemeClr val="accent1"/>
              </a:solidFill>
              <a:ln w="25400">
                <a:solidFill>
                  <a:schemeClr val="accent1"/>
                </a:solidFill>
              </a:ln>
              <a:effectLst/>
              <a:scene3d>
                <a:camera prst="orthographicFront"/>
                <a:lightRig rig="threePt" dir="t"/>
              </a:scene3d>
              <a:sp3d>
                <a:bevelT/>
              </a:sp3d>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Detailed'!$B$244:$P$244</c:f>
              <c:numCache>
                <c:formatCode>#,##0</c:formatCode>
                <c:ptCount val="15"/>
                <c:pt idx="0">
                  <c:v>163556.51133612113</c:v>
                </c:pt>
                <c:pt idx="1">
                  <c:v>152637.87133612114</c:v>
                </c:pt>
                <c:pt idx="2">
                  <c:v>147594.17133612113</c:v>
                </c:pt>
                <c:pt idx="3">
                  <c:v>147506.43133612114</c:v>
                </c:pt>
                <c:pt idx="4">
                  <c:v>131400.54133612115</c:v>
                </c:pt>
                <c:pt idx="5">
                  <c:v>139341.55133612113</c:v>
                </c:pt>
                <c:pt idx="6">
                  <c:v>139253.49133612114</c:v>
                </c:pt>
                <c:pt idx="7">
                  <c:v>123845.18133612114</c:v>
                </c:pt>
                <c:pt idx="8">
                  <c:v>124161.37133612116</c:v>
                </c:pt>
                <c:pt idx="9">
                  <c:v>109849.78133612113</c:v>
                </c:pt>
                <c:pt idx="10">
                  <c:v>77701.891336121131</c:v>
                </c:pt>
                <c:pt idx="11">
                  <c:v>77968.061336121144</c:v>
                </c:pt>
                <c:pt idx="12">
                  <c:v>73885.571336121124</c:v>
                </c:pt>
                <c:pt idx="13">
                  <c:v>80341.111336121132</c:v>
                </c:pt>
                <c:pt idx="14">
                  <c:v>68885.221336121132</c:v>
                </c:pt>
              </c:numCache>
            </c:numRef>
          </c:yVal>
          <c:smooth val="0"/>
          <c:extLst>
            <c:ext xmlns:c16="http://schemas.microsoft.com/office/drawing/2014/chart" uri="{C3380CC4-5D6E-409C-BE32-E72D297353CC}">
              <c16:uniqueId val="{00000000-0BDC-47C4-A4F2-61DA17CEAF0A}"/>
            </c:ext>
          </c:extLst>
        </c:ser>
        <c:ser>
          <c:idx val="2"/>
          <c:order val="1"/>
          <c:tx>
            <c:strRef>
              <c:f>'NPV Plotting'!$A$6</c:f>
              <c:strCache>
                <c:ptCount val="1"/>
                <c:pt idx="0">
                  <c:v>Midium EE</c:v>
                </c:pt>
              </c:strCache>
            </c:strRef>
          </c:tx>
          <c:spPr>
            <a:ln w="28575" cap="rnd">
              <a:solidFill>
                <a:srgbClr val="00B050"/>
              </a:solidFill>
              <a:round/>
            </a:ln>
            <a:effectLst/>
          </c:spPr>
          <c:marker>
            <c:symbol val="circle"/>
            <c:size val="5"/>
            <c:spPr>
              <a:solidFill>
                <a:srgbClr val="00B050"/>
              </a:solidFill>
              <a:ln w="25400">
                <a:solidFill>
                  <a:srgbClr val="00B050"/>
                </a:solidFill>
              </a:ln>
              <a:effectLst/>
              <a:scene3d>
                <a:camera prst="orthographicFront"/>
                <a:lightRig rig="threePt" dir="t"/>
              </a:scene3d>
              <a:sp3d>
                <a:bevelT/>
              </a:sp3d>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Detailed'!$B$244:$O$244</c:f>
              <c:numCache>
                <c:formatCode>#,##0</c:formatCode>
                <c:ptCount val="14"/>
                <c:pt idx="0">
                  <c:v>150812.13535028213</c:v>
                </c:pt>
                <c:pt idx="1">
                  <c:v>150724.22535028213</c:v>
                </c:pt>
                <c:pt idx="2">
                  <c:v>139918.55535028214</c:v>
                </c:pt>
                <c:pt idx="3">
                  <c:v>139830.87536046765</c:v>
                </c:pt>
                <c:pt idx="4">
                  <c:v>134753.98535028214</c:v>
                </c:pt>
                <c:pt idx="5">
                  <c:v>134754.17535028214</c:v>
                </c:pt>
                <c:pt idx="6">
                  <c:v>134754.00535028212</c:v>
                </c:pt>
                <c:pt idx="7">
                  <c:v>118798.46535028215</c:v>
                </c:pt>
                <c:pt idx="8">
                  <c:v>126666.20535028214</c:v>
                </c:pt>
                <c:pt idx="9">
                  <c:v>111243.90535028213</c:v>
                </c:pt>
                <c:pt idx="10">
                  <c:v>97031.415360467625</c:v>
                </c:pt>
                <c:pt idx="11">
                  <c:v>65671.545350282147</c:v>
                </c:pt>
                <c:pt idx="12">
                  <c:v>63110.415350282143</c:v>
                </c:pt>
                <c:pt idx="13">
                  <c:v>56754.945350282134</c:v>
                </c:pt>
              </c:numCache>
            </c:numRef>
          </c:yVal>
          <c:smooth val="0"/>
          <c:extLst>
            <c:ext xmlns:c16="http://schemas.microsoft.com/office/drawing/2014/chart" uri="{C3380CC4-5D6E-409C-BE32-E72D297353CC}">
              <c16:uniqueId val="{00000001-0BDC-47C4-A4F2-61DA17CEAF0A}"/>
            </c:ext>
          </c:extLst>
        </c:ser>
        <c:ser>
          <c:idx val="1"/>
          <c:order val="2"/>
          <c:tx>
            <c:strRef>
              <c:f>'NPV Plotting'!$A$7</c:f>
              <c:strCache>
                <c:ptCount val="1"/>
                <c:pt idx="0">
                  <c:v>High EE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a:scene3d>
                <a:camera prst="orthographicFront"/>
                <a:lightRig rig="threePt" dir="t"/>
              </a:scene3d>
              <a:sp3d>
                <a:bevelT/>
              </a:sp3d>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Detailed'!$B$244:$P$244</c:f>
              <c:numCache>
                <c:formatCode>#,##0</c:formatCode>
                <c:ptCount val="15"/>
                <c:pt idx="0">
                  <c:v>138177.11771439217</c:v>
                </c:pt>
                <c:pt idx="1">
                  <c:v>138177.1366958422</c:v>
                </c:pt>
                <c:pt idx="2">
                  <c:v>127113.01669584219</c:v>
                </c:pt>
                <c:pt idx="3">
                  <c:v>122086.99771439216</c:v>
                </c:pt>
                <c:pt idx="4">
                  <c:v>106297.03771439218</c:v>
                </c:pt>
                <c:pt idx="5">
                  <c:v>114246.77771439217</c:v>
                </c:pt>
                <c:pt idx="6">
                  <c:v>114159.17771439216</c:v>
                </c:pt>
                <c:pt idx="7">
                  <c:v>98812.617714392167</c:v>
                </c:pt>
                <c:pt idx="8">
                  <c:v>98818.287714392165</c:v>
                </c:pt>
                <c:pt idx="9">
                  <c:v>58269.867714392167</c:v>
                </c:pt>
                <c:pt idx="10">
                  <c:v>54721.977714392167</c:v>
                </c:pt>
                <c:pt idx="11">
                  <c:v>55109.636695842186</c:v>
                </c:pt>
                <c:pt idx="12">
                  <c:v>51099.386695842186</c:v>
                </c:pt>
                <c:pt idx="13">
                  <c:v>45808.707714392163</c:v>
                </c:pt>
                <c:pt idx="14">
                  <c:v>46464.676695842179</c:v>
                </c:pt>
              </c:numCache>
            </c:numRef>
          </c:yVal>
          <c:smooth val="0"/>
          <c:extLst>
            <c:ext xmlns:c16="http://schemas.microsoft.com/office/drawing/2014/chart" uri="{C3380CC4-5D6E-409C-BE32-E72D297353CC}">
              <c16:uniqueId val="{00000002-0BDC-47C4-A4F2-61DA17CEAF0A}"/>
            </c:ext>
          </c:extLst>
        </c:ser>
        <c:ser>
          <c:idx val="3"/>
          <c:order val="3"/>
          <c:tx>
            <c:strRef>
              <c:f>'NPV Plotting'!$A$9</c:f>
              <c:strCache>
                <c:ptCount val="1"/>
                <c:pt idx="0">
                  <c:v>Low EE no Stoves</c:v>
                </c:pt>
              </c:strCache>
            </c:strRef>
          </c:tx>
          <c:spPr>
            <a:ln w="28575"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Detailed'!$B$244:$O$244</c:f>
              <c:numCache>
                <c:formatCode>#,##0</c:formatCode>
                <c:ptCount val="14"/>
                <c:pt idx="0">
                  <c:v>163843.74149288971</c:v>
                </c:pt>
                <c:pt idx="1">
                  <c:v>158579.47689855809</c:v>
                </c:pt>
                <c:pt idx="2">
                  <c:v>158403.7207702662</c:v>
                </c:pt>
                <c:pt idx="3">
                  <c:v>146785.50073352404</c:v>
                </c:pt>
                <c:pt idx="4">
                  <c:v>152964.33742432238</c:v>
                </c:pt>
                <c:pt idx="5">
                  <c:v>148143.31467968359</c:v>
                </c:pt>
                <c:pt idx="6">
                  <c:v>132480.3277268302</c:v>
                </c:pt>
                <c:pt idx="7">
                  <c:v>142500.3172362746</c:v>
                </c:pt>
                <c:pt idx="8">
                  <c:v>142500.63502386998</c:v>
                </c:pt>
                <c:pt idx="9">
                  <c:v>142500.4751115223</c:v>
                </c:pt>
                <c:pt idx="10">
                  <c:v>127952.43943784799</c:v>
                </c:pt>
                <c:pt idx="11">
                  <c:v>114575.1937550256</c:v>
                </c:pt>
                <c:pt idx="12">
                  <c:v>114822.26836180546</c:v>
                </c:pt>
                <c:pt idx="13">
                  <c:v>86808.934297893386</c:v>
                </c:pt>
              </c:numCache>
            </c:numRef>
          </c:yVal>
          <c:smooth val="0"/>
          <c:extLst>
            <c:ext xmlns:c16="http://schemas.microsoft.com/office/drawing/2014/chart" uri="{C3380CC4-5D6E-409C-BE32-E72D297353CC}">
              <c16:uniqueId val="{00000003-0BDC-47C4-A4F2-61DA17CEAF0A}"/>
            </c:ext>
          </c:extLst>
        </c:ser>
        <c:ser>
          <c:idx val="4"/>
          <c:order val="4"/>
          <c:tx>
            <c:strRef>
              <c:f>'NPV Plotting'!$A$10</c:f>
              <c:strCache>
                <c:ptCount val="1"/>
                <c:pt idx="0">
                  <c:v>Midium EE no Stoves</c:v>
                </c:pt>
              </c:strCache>
            </c:strRef>
          </c:tx>
          <c:spPr>
            <a:ln w="28575" cap="rnd">
              <a:solidFill>
                <a:srgbClr val="92D050"/>
              </a:solidFill>
              <a:round/>
            </a:ln>
            <a:effectLst/>
          </c:spPr>
          <c:marker>
            <c:symbol val="circle"/>
            <c:size val="5"/>
            <c:spPr>
              <a:solidFill>
                <a:srgbClr val="92D050"/>
              </a:solidFill>
              <a:ln w="9525">
                <a:solidFill>
                  <a:srgbClr val="92D050"/>
                </a:solidFill>
              </a:ln>
              <a:effectLst/>
              <a:scene3d>
                <a:camera prst="orthographicFront"/>
                <a:lightRig rig="threePt" dir="t"/>
              </a:scene3d>
              <a:sp3d>
                <a:bevelT/>
              </a:sp3d>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Detailed'!$B$244:$S$244</c:f>
              <c:numCache>
                <c:formatCode>#,##0</c:formatCode>
                <c:ptCount val="18"/>
                <c:pt idx="0">
                  <c:v>150910.15230642748</c:v>
                </c:pt>
                <c:pt idx="1">
                  <c:v>145717.83702951713</c:v>
                </c:pt>
                <c:pt idx="2">
                  <c:v>145717.86145434578</c:v>
                </c:pt>
                <c:pt idx="3">
                  <c:v>134182.16158289189</c:v>
                </c:pt>
                <c:pt idx="4">
                  <c:v>134330.23599766486</c:v>
                </c:pt>
                <c:pt idx="5">
                  <c:v>140084.12202493643</c:v>
                </c:pt>
                <c:pt idx="6">
                  <c:v>140084.08741460796</c:v>
                </c:pt>
                <c:pt idx="7">
                  <c:v>135667.45493442396</c:v>
                </c:pt>
                <c:pt idx="8">
                  <c:v>119884.59456323483</c:v>
                </c:pt>
                <c:pt idx="9">
                  <c:v>130234.80654654669</c:v>
                </c:pt>
                <c:pt idx="10">
                  <c:v>130234.70602584866</c:v>
                </c:pt>
                <c:pt idx="11">
                  <c:v>130234.72891266682</c:v>
                </c:pt>
                <c:pt idx="12">
                  <c:v>115734.88503079358</c:v>
                </c:pt>
                <c:pt idx="13">
                  <c:v>103417.708734224</c:v>
                </c:pt>
                <c:pt idx="14">
                  <c:v>78476.65668765406</c:v>
                </c:pt>
                <c:pt idx="15">
                  <c:v>75246.859423346905</c:v>
                </c:pt>
                <c:pt idx="16">
                  <c:v>77048.304155200123</c:v>
                </c:pt>
                <c:pt idx="17">
                  <c:v>74077.526919486729</c:v>
                </c:pt>
              </c:numCache>
            </c:numRef>
          </c:yVal>
          <c:smooth val="0"/>
          <c:extLst>
            <c:ext xmlns:c16="http://schemas.microsoft.com/office/drawing/2014/chart" uri="{C3380CC4-5D6E-409C-BE32-E72D297353CC}">
              <c16:uniqueId val="{00000004-0BDC-47C4-A4F2-61DA17CEAF0A}"/>
            </c:ext>
          </c:extLst>
        </c:ser>
        <c:ser>
          <c:idx val="5"/>
          <c:order val="5"/>
          <c:tx>
            <c:strRef>
              <c:f>'NPV Plotting'!$A$11</c:f>
              <c:strCache>
                <c:ptCount val="1"/>
                <c:pt idx="0">
                  <c:v>High EE no Stoves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a:scene3d>
                <a:camera prst="orthographicFront"/>
                <a:lightRig rig="threePt" dir="t"/>
              </a:scene3d>
              <a:sp3d>
                <a:bevelT/>
              </a:sp3d>
            </c:spPr>
          </c:marker>
          <c:xVal>
            <c:numRef>
              <c:f>'High-EE no Stoves Detailed'!$B$18:$U$18</c:f>
              <c:numCache>
                <c:formatCode>"$"#,##0.00;[Red]"$"#,##0.00</c:formatCode>
                <c:ptCount val="20"/>
                <c:pt idx="0">
                  <c:v>3040717.1960315853</c:v>
                </c:pt>
                <c:pt idx="1">
                  <c:v>3125717.1960315853</c:v>
                </c:pt>
                <c:pt idx="2">
                  <c:v>3160717.1960315853</c:v>
                </c:pt>
                <c:pt idx="3">
                  <c:v>3590717.1960315853</c:v>
                </c:pt>
                <c:pt idx="4">
                  <c:v>3710717.1960315853</c:v>
                </c:pt>
                <c:pt idx="5">
                  <c:v>3990717.1960315853</c:v>
                </c:pt>
                <c:pt idx="6">
                  <c:v>4090717.1960315853</c:v>
                </c:pt>
                <c:pt idx="7">
                  <c:v>4210717.1960315853</c:v>
                </c:pt>
                <c:pt idx="8">
                  <c:v>4590717.1960315853</c:v>
                </c:pt>
                <c:pt idx="9">
                  <c:v>4710717.1960315853</c:v>
                </c:pt>
                <c:pt idx="10">
                  <c:v>5540717.1960315853</c:v>
                </c:pt>
                <c:pt idx="11">
                  <c:v>5590717.1960315853</c:v>
                </c:pt>
                <c:pt idx="12">
                  <c:v>5710717.1960315853</c:v>
                </c:pt>
                <c:pt idx="13">
                  <c:v>6540717.1960315853</c:v>
                </c:pt>
                <c:pt idx="14">
                  <c:v>7366875.4560315851</c:v>
                </c:pt>
                <c:pt idx="15">
                  <c:v>7881875.4560315851</c:v>
                </c:pt>
                <c:pt idx="16">
                  <c:v>7966875.4560315851</c:v>
                </c:pt>
                <c:pt idx="17">
                  <c:v>8381875.4560315851</c:v>
                </c:pt>
                <c:pt idx="18">
                  <c:v>8466875.4560315851</c:v>
                </c:pt>
                <c:pt idx="19">
                  <c:v>9381875.4560315851</c:v>
                </c:pt>
              </c:numCache>
            </c:numRef>
          </c:xVal>
          <c:yVal>
            <c:numRef>
              <c:f>'High-EE no Stoves Detailed'!$B$244:$U$244</c:f>
              <c:numCache>
                <c:formatCode>#,##0</c:formatCode>
                <c:ptCount val="20"/>
                <c:pt idx="0">
                  <c:v>138349.62433949453</c:v>
                </c:pt>
                <c:pt idx="1">
                  <c:v>138349.74147274281</c:v>
                </c:pt>
                <c:pt idx="2">
                  <c:v>138349.62943224446</c:v>
                </c:pt>
                <c:pt idx="3">
                  <c:v>133049.570954336</c:v>
                </c:pt>
                <c:pt idx="4">
                  <c:v>132962.01373343539</c:v>
                </c:pt>
                <c:pt idx="5">
                  <c:v>121771.11521864933</c:v>
                </c:pt>
                <c:pt idx="6">
                  <c:v>127391.17366223266</c:v>
                </c:pt>
                <c:pt idx="7">
                  <c:v>127391.21134858209</c:v>
                </c:pt>
                <c:pt idx="8">
                  <c:v>123113.07198717116</c:v>
                </c:pt>
                <c:pt idx="9">
                  <c:v>123025.48521813548</c:v>
                </c:pt>
                <c:pt idx="10">
                  <c:v>107978.06397561348</c:v>
                </c:pt>
                <c:pt idx="11">
                  <c:v>118064.22421192114</c:v>
                </c:pt>
                <c:pt idx="12">
                  <c:v>118064.2058780214</c:v>
                </c:pt>
                <c:pt idx="13">
                  <c:v>104300.09226714305</c:v>
                </c:pt>
                <c:pt idx="14">
                  <c:v>91603.869634870716</c:v>
                </c:pt>
                <c:pt idx="15">
                  <c:v>66811.315760609592</c:v>
                </c:pt>
                <c:pt idx="16">
                  <c:v>66951.559125120577</c:v>
                </c:pt>
                <c:pt idx="17">
                  <c:v>65826.282177661924</c:v>
                </c:pt>
                <c:pt idx="18">
                  <c:v>66442.191129152809</c:v>
                </c:pt>
                <c:pt idx="19">
                  <c:v>63816.747218393466</c:v>
                </c:pt>
              </c:numCache>
            </c:numRef>
          </c:yVal>
          <c:smooth val="0"/>
          <c:extLst>
            <c:ext xmlns:c16="http://schemas.microsoft.com/office/drawing/2014/chart" uri="{C3380CC4-5D6E-409C-BE32-E72D297353CC}">
              <c16:uniqueId val="{00000005-0BDC-47C4-A4F2-61DA17CEAF0A}"/>
            </c:ext>
          </c:extLst>
        </c:ser>
        <c:ser>
          <c:idx val="6"/>
          <c:order val="6"/>
          <c:tx>
            <c:v>Baseline</c:v>
          </c:tx>
          <c:spPr>
            <a:ln w="28575" cap="rnd">
              <a:noFill/>
              <a:round/>
            </a:ln>
            <a:effectLst/>
          </c:spPr>
          <c:marker>
            <c:symbol val="circle"/>
            <c:size val="5"/>
            <c:spPr>
              <a:solidFill>
                <a:schemeClr val="accent1">
                  <a:lumMod val="60000"/>
                </a:schemeClr>
              </a:solidFill>
              <a:ln w="9525">
                <a:solidFill>
                  <a:schemeClr val="accent1">
                    <a:lumMod val="60000"/>
                  </a:schemeClr>
                </a:solidFill>
              </a:ln>
              <a:effectLst/>
              <a:scene3d>
                <a:camera prst="orthographicFront"/>
                <a:lightRig rig="threePt" dir="t"/>
              </a:scene3d>
              <a:sp3d>
                <a:bevelT/>
              </a:sp3d>
            </c:spPr>
          </c:marker>
          <c:xVal>
            <c:numLit>
              <c:formatCode>General</c:formatCode>
              <c:ptCount val="1"/>
              <c:pt idx="0">
                <c:v>0</c:v>
              </c:pt>
            </c:numLit>
          </c:xVal>
          <c:yVal>
            <c:numRef>
              <c:f>Assumptions!$B$10</c:f>
              <c:numCache>
                <c:formatCode>General</c:formatCode>
                <c:ptCount val="1"/>
                <c:pt idx="0">
                  <c:v>186075.58976888133</c:v>
                </c:pt>
              </c:numCache>
            </c:numRef>
          </c:yVal>
          <c:smooth val="1"/>
          <c:extLst>
            <c:ext xmlns:c16="http://schemas.microsoft.com/office/drawing/2014/chart" uri="{C3380CC4-5D6E-409C-BE32-E72D297353CC}">
              <c16:uniqueId val="{00000006-0BDC-47C4-A4F2-61DA17CEAF0A}"/>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Total Capital Cost</a:t>
                </a:r>
              </a:p>
            </c:rich>
          </c:tx>
          <c:layout>
            <c:manualLayout>
              <c:xMode val="edge"/>
              <c:yMode val="edge"/>
              <c:x val="0.44537037748330238"/>
              <c:y val="0.811969646909097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Fuel Usage (Gal/year)</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000909695180458"/>
          <c:y val="0.87556487504279357"/>
          <c:w val="0.82999090304819545"/>
          <c:h val="9.73739016318612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Shungnak </a:t>
            </a:r>
            <a:r>
              <a:rPr lang="en-US" baseline="0"/>
              <a:t>Energy Consumption</a:t>
            </a:r>
            <a:endParaRPr lang="en-US"/>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2A4D-4C64-81E0-2325010FAF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604-4B59-9EF9-04F5356425A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Assumptions!$A$24:$A$25</c:f>
              <c:strCache>
                <c:ptCount val="2"/>
                <c:pt idx="0">
                  <c:v>Baseline electrical load (kWh/year)</c:v>
                </c:pt>
                <c:pt idx="1">
                  <c:v>Baseline thermal load (kWh/year)</c:v>
                </c:pt>
              </c:strCache>
            </c:strRef>
          </c:cat>
          <c:val>
            <c:numRef>
              <c:f>Assumptions!$B$24:$B$25</c:f>
              <c:numCache>
                <c:formatCode>#,##0</c:formatCode>
                <c:ptCount val="2"/>
                <c:pt idx="0">
                  <c:v>1747196.0752000001</c:v>
                </c:pt>
                <c:pt idx="1">
                  <c:v>2813162.6651999997</c:v>
                </c:pt>
              </c:numCache>
            </c:numRef>
          </c:val>
          <c:extLst>
            <c:ext xmlns:c16="http://schemas.microsoft.com/office/drawing/2014/chart" uri="{C3380CC4-5D6E-409C-BE32-E72D297353CC}">
              <c16:uniqueId val="{00000000-2A4D-4C64-81E0-2325010FAF74}"/>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Shungnak</a:t>
            </a:r>
            <a:r>
              <a:rPr lang="en-US" baseline="0"/>
              <a:t> Fuel Use</a:t>
            </a:r>
            <a:endParaRPr lang="en-US"/>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A9-435D-BBF5-4AFD17B8343C}"/>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A9-435D-BBF5-4AFD17B8343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'NO-EE Detailed'!$A$213:$A$214</c:f>
              <c:strCache>
                <c:ptCount val="2"/>
                <c:pt idx="0">
                  <c:v>Diesel Fuel use (Gal/year)</c:v>
                </c:pt>
                <c:pt idx="1">
                  <c:v>Heating Fuel use (Gal/year)</c:v>
                </c:pt>
              </c:strCache>
            </c:strRef>
          </c:cat>
          <c:val>
            <c:numRef>
              <c:f>'NO-EE Detailed'!$B$213:$B$214</c:f>
              <c:numCache>
                <c:formatCode>#,##0</c:formatCode>
                <c:ptCount val="2"/>
                <c:pt idx="0">
                  <c:v>129385.20000000001</c:v>
                </c:pt>
                <c:pt idx="1">
                  <c:v>56690.38976888133</c:v>
                </c:pt>
              </c:numCache>
            </c:numRef>
          </c:val>
          <c:extLst>
            <c:ext xmlns:c16="http://schemas.microsoft.com/office/drawing/2014/chart" uri="{C3380CC4-5D6E-409C-BE32-E72D297353CC}">
              <c16:uniqueId val="{00000004-45A9-435D-BBF5-4AFD17B8343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Low-EE with Stoves Detailed Results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989627065703805"/>
          <c:w val="0.83095013123359585"/>
          <c:h val="0.67001955788403433"/>
        </c:manualLayout>
      </c:layout>
      <c:scatterChart>
        <c:scatterStyle val="smoothMarker"/>
        <c:varyColors val="0"/>
        <c:ser>
          <c:idx val="0"/>
          <c:order val="0"/>
          <c:tx>
            <c:strRef>
              <c:f>'Low-EE Detailed'!$A$13</c:f>
              <c:strCache>
                <c:ptCount val="1"/>
                <c:pt idx="0">
                  <c:v>Marginal NPV (Utility Only)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Detailed'!$B$13:$P$13</c:f>
              <c:numCache>
                <c:formatCode>"$"#,##0.00;[Red]"$"#,##0.00</c:formatCode>
                <c:ptCount val="15"/>
                <c:pt idx="0">
                  <c:v>322318.1437124433</c:v>
                </c:pt>
                <c:pt idx="1">
                  <c:v>-164377.12977362517</c:v>
                </c:pt>
                <c:pt idx="2">
                  <c:v>-452984.86264941003</c:v>
                </c:pt>
                <c:pt idx="3">
                  <c:v>-541591.70602878463</c:v>
                </c:pt>
                <c:pt idx="4">
                  <c:v>720645.12908954453</c:v>
                </c:pt>
                <c:pt idx="5">
                  <c:v>-1506307.4979630215</c:v>
                </c:pt>
                <c:pt idx="6">
                  <c:v>-1648045.0085794022</c:v>
                </c:pt>
                <c:pt idx="7">
                  <c:v>-458558.91315607633</c:v>
                </c:pt>
                <c:pt idx="8">
                  <c:v>-637142.24447110575</c:v>
                </c:pt>
                <c:pt idx="9">
                  <c:v>268383.34286342282</c:v>
                </c:pt>
                <c:pt idx="10">
                  <c:v>4091239.8087606104</c:v>
                </c:pt>
                <c:pt idx="11">
                  <c:v>3930330.4385885103</c:v>
                </c:pt>
                <c:pt idx="12">
                  <c:v>3462674.7781793857</c:v>
                </c:pt>
                <c:pt idx="13">
                  <c:v>1742434.1296657464</c:v>
                </c:pt>
                <c:pt idx="14">
                  <c:v>1841574.3455954948</c:v>
                </c:pt>
              </c:numCache>
            </c:numRef>
          </c:yVal>
          <c:smooth val="1"/>
          <c:extLst>
            <c:ext xmlns:c16="http://schemas.microsoft.com/office/drawing/2014/chart" uri="{C3380CC4-5D6E-409C-BE32-E72D297353CC}">
              <c16:uniqueId val="{00000000-0017-476A-ABCC-A58AAF330D45}"/>
            </c:ext>
          </c:extLst>
        </c:ser>
        <c:ser>
          <c:idx val="1"/>
          <c:order val="1"/>
          <c:tx>
            <c:strRef>
              <c:f>'Low-EE Detailed'!$A$14</c:f>
              <c:strCache>
                <c:ptCount val="1"/>
                <c:pt idx="0">
                  <c:v>Marginal NPV (Heating Customers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Detailed'!$B$14:$P$14</c:f>
              <c:numCache>
                <c:formatCode>"$"#,##0.00;[Red]"$"#,##0.00</c:formatCode>
                <c:ptCount val="15"/>
                <c:pt idx="0">
                  <c:v>1477344.0172345899</c:v>
                </c:pt>
                <c:pt idx="1">
                  <c:v>1348719.8475155607</c:v>
                </c:pt>
                <c:pt idx="2">
                  <c:v>1353448.9965159353</c:v>
                </c:pt>
                <c:pt idx="3">
                  <c:v>1353465.6710398961</c:v>
                </c:pt>
                <c:pt idx="4">
                  <c:v>1225557.6790183783</c:v>
                </c:pt>
                <c:pt idx="5">
                  <c:v>1569130.2715589572</c:v>
                </c:pt>
                <c:pt idx="6">
                  <c:v>1569185.0592805455</c:v>
                </c:pt>
                <c:pt idx="7">
                  <c:v>1503304.7384110531</c:v>
                </c:pt>
                <c:pt idx="8">
                  <c:v>1507394.0674447687</c:v>
                </c:pt>
                <c:pt idx="9">
                  <c:v>1477089.225613568</c:v>
                </c:pt>
                <c:pt idx="10">
                  <c:v>1581892.2360624559</c:v>
                </c:pt>
                <c:pt idx="11">
                  <c:v>1591911.8843001081</c:v>
                </c:pt>
                <c:pt idx="12">
                  <c:v>1771450.4846978309</c:v>
                </c:pt>
                <c:pt idx="13">
                  <c:v>1755720.75552327</c:v>
                </c:pt>
                <c:pt idx="14">
                  <c:v>2222556.5618639663</c:v>
                </c:pt>
              </c:numCache>
            </c:numRef>
          </c:yVal>
          <c:smooth val="1"/>
          <c:extLst>
            <c:ext xmlns:c16="http://schemas.microsoft.com/office/drawing/2014/chart" uri="{C3380CC4-5D6E-409C-BE32-E72D297353CC}">
              <c16:uniqueId val="{00000001-0017-476A-ABCC-A58AAF330D45}"/>
            </c:ext>
          </c:extLst>
        </c:ser>
        <c:ser>
          <c:idx val="2"/>
          <c:order val="2"/>
          <c:tx>
            <c:strRef>
              <c:f>'Low-EE Detailed'!$A$15</c:f>
              <c:strCache>
                <c:ptCount val="1"/>
                <c:pt idx="0">
                  <c:v>Total Marginal NPV</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'Low-EE Detailed'!$B$18:$P$18</c:f>
              <c:numCache>
                <c:formatCode>"$"#,##0.00;[Red]"$"#,##0.00</c:formatCode>
                <c:ptCount val="15"/>
                <c:pt idx="0">
                  <c:v>518433.40132487641</c:v>
                </c:pt>
                <c:pt idx="1">
                  <c:v>1578554.1113248763</c:v>
                </c:pt>
                <c:pt idx="2">
                  <c:v>2079839.7013248764</c:v>
                </c:pt>
                <c:pt idx="3">
                  <c:v>2199839.7013248764</c:v>
                </c:pt>
                <c:pt idx="4">
                  <c:v>3031055.8513248768</c:v>
                </c:pt>
                <c:pt idx="5">
                  <c:v>3085431.7413248764</c:v>
                </c:pt>
                <c:pt idx="6">
                  <c:v>3205431.7413248764</c:v>
                </c:pt>
                <c:pt idx="7">
                  <c:v>4037604.6613248764</c:v>
                </c:pt>
                <c:pt idx="8">
                  <c:v>4157589.8713248768</c:v>
                </c:pt>
                <c:pt idx="9">
                  <c:v>4781657.9213248761</c:v>
                </c:pt>
                <c:pt idx="10">
                  <c:v>5391467.2513248762</c:v>
                </c:pt>
                <c:pt idx="11">
                  <c:v>5511479.7113248762</c:v>
                </c:pt>
                <c:pt idx="12">
                  <c:v>5895609.801324876</c:v>
                </c:pt>
                <c:pt idx="13">
                  <c:v>6193671.6813248759</c:v>
                </c:pt>
                <c:pt idx="14">
                  <c:v>6904428.7813248765</c:v>
                </c:pt>
              </c:numCache>
            </c:numRef>
          </c:xVal>
          <c:yVal>
            <c:numRef>
              <c:f>'Low-EE Detailed'!$B$15:$P$15</c:f>
              <c:numCache>
                <c:formatCode>"$"#,##0.00;[Red]"$"#,##0.00</c:formatCode>
                <c:ptCount val="15"/>
                <c:pt idx="0">
                  <c:v>1799662.1609470332</c:v>
                </c:pt>
                <c:pt idx="1">
                  <c:v>1184342.7177419355</c:v>
                </c:pt>
                <c:pt idx="2">
                  <c:v>900464.13386652526</c:v>
                </c:pt>
                <c:pt idx="3">
                  <c:v>811873.96501111146</c:v>
                </c:pt>
                <c:pt idx="4">
                  <c:v>1946202.8081079228</c:v>
                </c:pt>
                <c:pt idx="5">
                  <c:v>62822.773595935665</c:v>
                </c:pt>
                <c:pt idx="6">
                  <c:v>-78859.94929885678</c:v>
                </c:pt>
                <c:pt idx="7">
                  <c:v>1044745.8252549767</c:v>
                </c:pt>
                <c:pt idx="8">
                  <c:v>870251.82297366299</c:v>
                </c:pt>
                <c:pt idx="9">
                  <c:v>1745472.5684769908</c:v>
                </c:pt>
                <c:pt idx="10">
                  <c:v>5673132.0448230663</c:v>
                </c:pt>
                <c:pt idx="11">
                  <c:v>5522242.3228886183</c:v>
                </c:pt>
                <c:pt idx="12">
                  <c:v>5234125.2628772166</c:v>
                </c:pt>
                <c:pt idx="13">
                  <c:v>3498154.8851890163</c:v>
                </c:pt>
                <c:pt idx="14">
                  <c:v>4064130.9074594611</c:v>
                </c:pt>
              </c:numCache>
            </c:numRef>
          </c:yVal>
          <c:smooth val="1"/>
          <c:extLst>
            <c:ext xmlns:c16="http://schemas.microsoft.com/office/drawing/2014/chart" uri="{C3380CC4-5D6E-409C-BE32-E72D297353CC}">
              <c16:uniqueId val="{00000002-0017-476A-ABCC-A58AAF330D45}"/>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320235580308559"/>
              <c:y val="0.875318080998989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Low-EE without Stoves Detailed Results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989627065703805"/>
          <c:w val="0.83095013123359585"/>
          <c:h val="0.67001955788403433"/>
        </c:manualLayout>
      </c:layout>
      <c:scatterChart>
        <c:scatterStyle val="smoothMarker"/>
        <c:varyColors val="0"/>
        <c:ser>
          <c:idx val="0"/>
          <c:order val="0"/>
          <c:tx>
            <c:strRef>
              <c:f>'Low-EE no Stoves Detailed'!$A$13</c:f>
              <c:strCache>
                <c:ptCount val="1"/>
                <c:pt idx="0">
                  <c:v>Marginal NPV (Utility Only)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Detailed'!$B$13:$O$13</c:f>
              <c:numCache>
                <c:formatCode>"$"#,##0.00;[Red]"$"#,##0.00</c:formatCode>
                <c:ptCount val="14"/>
                <c:pt idx="0">
                  <c:v>191270.00325581152</c:v>
                </c:pt>
                <c:pt idx="1">
                  <c:v>-61431.996073660441</c:v>
                </c:pt>
                <c:pt idx="2">
                  <c:v>-68589.539918999188</c:v>
                </c:pt>
                <c:pt idx="3">
                  <c:v>1724800.0359558938</c:v>
                </c:pt>
                <c:pt idx="4">
                  <c:v>-290826.14128644299</c:v>
                </c:pt>
                <c:pt idx="5">
                  <c:v>-367500.01194630843</c:v>
                </c:pt>
                <c:pt idx="6">
                  <c:v>777853.01455221046</c:v>
                </c:pt>
                <c:pt idx="7">
                  <c:v>-1413984.6108494392</c:v>
                </c:pt>
                <c:pt idx="8">
                  <c:v>-1591131.6413758909</c:v>
                </c:pt>
                <c:pt idx="9">
                  <c:v>-1634486.0925277239</c:v>
                </c:pt>
                <c:pt idx="10">
                  <c:v>-434606.30261843931</c:v>
                </c:pt>
                <c:pt idx="11">
                  <c:v>401919.38174707163</c:v>
                </c:pt>
                <c:pt idx="12">
                  <c:v>240816.3507729331</c:v>
                </c:pt>
                <c:pt idx="13">
                  <c:v>3350161.1791215492</c:v>
                </c:pt>
              </c:numCache>
            </c:numRef>
          </c:yVal>
          <c:smooth val="1"/>
          <c:extLst>
            <c:ext xmlns:c16="http://schemas.microsoft.com/office/drawing/2014/chart" uri="{C3380CC4-5D6E-409C-BE32-E72D297353CC}">
              <c16:uniqueId val="{00000000-EF8B-4FFF-81D0-55FF27B2C764}"/>
            </c:ext>
          </c:extLst>
        </c:ser>
        <c:ser>
          <c:idx val="1"/>
          <c:order val="1"/>
          <c:tx>
            <c:strRef>
              <c:f>'Low-EE no Stoves Detailed'!$A$14</c:f>
              <c:strCache>
                <c:ptCount val="1"/>
                <c:pt idx="0">
                  <c:v>Marginal NPV (Heating Customers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Detailed'!$B$14:$O$14</c:f>
              <c:numCache>
                <c:formatCode>"$"#,##0.00;[Red]"$"#,##0.00</c:formatCode>
                <c:ptCount val="14"/>
                <c:pt idx="0">
                  <c:v>1453567.3184312936</c:v>
                </c:pt>
                <c:pt idx="1">
                  <c:v>1402384.2232963527</c:v>
                </c:pt>
                <c:pt idx="2">
                  <c:v>1402450.4602572704</c:v>
                </c:pt>
                <c:pt idx="3">
                  <c:v>1273368.2104982659</c:v>
                </c:pt>
                <c:pt idx="4">
                  <c:v>1330390.7124349577</c:v>
                </c:pt>
                <c:pt idx="5">
                  <c:v>1268149.8055333933</c:v>
                </c:pt>
                <c:pt idx="6">
                  <c:v>1078273.0651457515</c:v>
                </c:pt>
                <c:pt idx="7">
                  <c:v>1189040.7952111103</c:v>
                </c:pt>
                <c:pt idx="8">
                  <c:v>1189002.9455191549</c:v>
                </c:pt>
                <c:pt idx="9">
                  <c:v>1189021.9916782472</c:v>
                </c:pt>
                <c:pt idx="10">
                  <c:v>1012419.2110463101</c:v>
                </c:pt>
                <c:pt idx="11">
                  <c:v>821572.81492860988</c:v>
                </c:pt>
                <c:pt idx="12">
                  <c:v>823445.76811469533</c:v>
                </c:pt>
                <c:pt idx="13">
                  <c:v>414316.5591119146</c:v>
                </c:pt>
              </c:numCache>
            </c:numRef>
          </c:yVal>
          <c:smooth val="1"/>
          <c:extLst>
            <c:ext xmlns:c16="http://schemas.microsoft.com/office/drawing/2014/chart" uri="{C3380CC4-5D6E-409C-BE32-E72D297353CC}">
              <c16:uniqueId val="{00000001-EF8B-4FFF-81D0-55FF27B2C764}"/>
            </c:ext>
          </c:extLst>
        </c:ser>
        <c:ser>
          <c:idx val="2"/>
          <c:order val="2"/>
          <c:tx>
            <c:strRef>
              <c:f>'Low-EE no Stoves Detailed'!$A$15</c:f>
              <c:strCache>
                <c:ptCount val="1"/>
                <c:pt idx="0">
                  <c:v>Total Marginal NPV</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'Low-EE no Stoves Detailed'!$B$18:$O$18</c:f>
              <c:numCache>
                <c:formatCode>"$"#,##0.00;[Red]"$"#,##0.00</c:formatCode>
                <c:ptCount val="14"/>
                <c:pt idx="0">
                  <c:v>518433.41692267626</c:v>
                </c:pt>
                <c:pt idx="1">
                  <c:v>1068433.4169226764</c:v>
                </c:pt>
                <c:pt idx="2">
                  <c:v>1188433.4169226764</c:v>
                </c:pt>
                <c:pt idx="3">
                  <c:v>1468433.4169226764</c:v>
                </c:pt>
                <c:pt idx="4">
                  <c:v>1568433.4169226764</c:v>
                </c:pt>
                <c:pt idx="5">
                  <c:v>2068433.4169226764</c:v>
                </c:pt>
                <c:pt idx="6">
                  <c:v>3018433.4169226764</c:v>
                </c:pt>
                <c:pt idx="7">
                  <c:v>3068433.4169226764</c:v>
                </c:pt>
                <c:pt idx="8">
                  <c:v>3153433.4169226764</c:v>
                </c:pt>
                <c:pt idx="9">
                  <c:v>3188433.4169226764</c:v>
                </c:pt>
                <c:pt idx="10">
                  <c:v>4018433.4169226764</c:v>
                </c:pt>
                <c:pt idx="11">
                  <c:v>4759591.6769226762</c:v>
                </c:pt>
                <c:pt idx="12">
                  <c:v>4879591.6769226762</c:v>
                </c:pt>
                <c:pt idx="13">
                  <c:v>5859591.6769226762</c:v>
                </c:pt>
              </c:numCache>
            </c:numRef>
          </c:xVal>
          <c:yVal>
            <c:numRef>
              <c:f>'Low-EE no Stoves Detailed'!$B$15:$O$15</c:f>
              <c:numCache>
                <c:formatCode>"$"#,##0.00;[Red]"$"#,##0.00</c:formatCode>
                <c:ptCount val="14"/>
                <c:pt idx="0">
                  <c:v>1644837.3216871051</c:v>
                </c:pt>
                <c:pt idx="1">
                  <c:v>1340952.2272226922</c:v>
                </c:pt>
                <c:pt idx="2">
                  <c:v>1333860.9203382712</c:v>
                </c:pt>
                <c:pt idx="3">
                  <c:v>2998168.2464541597</c:v>
                </c:pt>
                <c:pt idx="4">
                  <c:v>1039564.5711485147</c:v>
                </c:pt>
                <c:pt idx="5">
                  <c:v>900649.79358708486</c:v>
                </c:pt>
                <c:pt idx="6">
                  <c:v>1856126.0796979619</c:v>
                </c:pt>
                <c:pt idx="7">
                  <c:v>-224943.8156383289</c:v>
                </c:pt>
                <c:pt idx="8">
                  <c:v>-402128.69585673604</c:v>
                </c:pt>
                <c:pt idx="9">
                  <c:v>-445464.10084947664</c:v>
                </c:pt>
                <c:pt idx="10">
                  <c:v>577812.90842787083</c:v>
                </c:pt>
                <c:pt idx="11">
                  <c:v>1223492.1966756815</c:v>
                </c:pt>
                <c:pt idx="12">
                  <c:v>1064262.1188876284</c:v>
                </c:pt>
                <c:pt idx="13">
                  <c:v>3764477.7382334638</c:v>
                </c:pt>
              </c:numCache>
            </c:numRef>
          </c:yVal>
          <c:smooth val="1"/>
          <c:extLst>
            <c:ext xmlns:c16="http://schemas.microsoft.com/office/drawing/2014/chart" uri="{C3380CC4-5D6E-409C-BE32-E72D297353CC}">
              <c16:uniqueId val="{00000002-EF8B-4FFF-81D0-55FF27B2C764}"/>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320235580308559"/>
              <c:y val="0.875318080998989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Medium-EE with Stoves Detailed Results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989627065703805"/>
          <c:w val="0.83095013123359585"/>
          <c:h val="0.67001955788403433"/>
        </c:manualLayout>
      </c:layout>
      <c:scatterChart>
        <c:scatterStyle val="smoothMarker"/>
        <c:varyColors val="0"/>
        <c:ser>
          <c:idx val="0"/>
          <c:order val="0"/>
          <c:tx>
            <c:strRef>
              <c:f>'Med-EE Detailed'!$A$13</c:f>
              <c:strCache>
                <c:ptCount val="1"/>
                <c:pt idx="0">
                  <c:v>Marginal NPV (Utility Only)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Detailed'!$B$13:$O$13</c:f>
              <c:numCache>
                <c:formatCode>"$"#,##0.00;[Red]"$"#,##0.00</c:formatCode>
                <c:ptCount val="14"/>
                <c:pt idx="0">
                  <c:v>1176325.8183533782</c:v>
                </c:pt>
                <c:pt idx="1">
                  <c:v>1036898.3260058025</c:v>
                </c:pt>
                <c:pt idx="2">
                  <c:v>734855.08893066179</c:v>
                </c:pt>
                <c:pt idx="3">
                  <c:v>669603.5524370661</c:v>
                </c:pt>
                <c:pt idx="4">
                  <c:v>359649.33164969366</c:v>
                </c:pt>
                <c:pt idx="5">
                  <c:v>272931.16028294619</c:v>
                </c:pt>
                <c:pt idx="6">
                  <c:v>236561.7909669159</c:v>
                </c:pt>
                <c:pt idx="7">
                  <c:v>1445320.9171494441</c:v>
                </c:pt>
                <c:pt idx="8">
                  <c:v>-818448.11760891881</c:v>
                </c:pt>
                <c:pt idx="9">
                  <c:v>259195.82802693825</c:v>
                </c:pt>
                <c:pt idx="10">
                  <c:v>1020673.6911840355</c:v>
                </c:pt>
                <c:pt idx="11">
                  <c:v>4636685.8585975962</c:v>
                </c:pt>
                <c:pt idx="12">
                  <c:v>3865099.5965690138</c:v>
                </c:pt>
                <c:pt idx="13">
                  <c:v>2355182.056218286</c:v>
                </c:pt>
              </c:numCache>
            </c:numRef>
          </c:yVal>
          <c:smooth val="1"/>
          <c:extLst>
            <c:ext xmlns:c16="http://schemas.microsoft.com/office/drawing/2014/chart" uri="{C3380CC4-5D6E-409C-BE32-E72D297353CC}">
              <c16:uniqueId val="{00000000-7E60-471B-8666-AA8D1D3F8A15}"/>
            </c:ext>
          </c:extLst>
        </c:ser>
        <c:ser>
          <c:idx val="1"/>
          <c:order val="1"/>
          <c:tx>
            <c:strRef>
              <c:f>'Med-EE Detailed'!$A$14</c:f>
              <c:strCache>
                <c:ptCount val="1"/>
                <c:pt idx="0">
                  <c:v>Marginal NPV (Heating Customers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Detailed'!$B$14:$O$14</c:f>
              <c:numCache>
                <c:formatCode>"$"#,##0.00;[Red]"$"#,##0.00</c:formatCode>
                <c:ptCount val="14"/>
                <c:pt idx="0">
                  <c:v>1353967.5005601533</c:v>
                </c:pt>
                <c:pt idx="1">
                  <c:v>1354004.4227203522</c:v>
                </c:pt>
                <c:pt idx="2">
                  <c:v>1232731.4889021777</c:v>
                </c:pt>
                <c:pt idx="3">
                  <c:v>1232741.0159884542</c:v>
                </c:pt>
                <c:pt idx="4">
                  <c:v>1251668.7172683943</c:v>
                </c:pt>
                <c:pt idx="5">
                  <c:v>1251646.0875573047</c:v>
                </c:pt>
                <c:pt idx="6">
                  <c:v>1251666.3351935418</c:v>
                </c:pt>
                <c:pt idx="7">
                  <c:v>1137035.3890253315</c:v>
                </c:pt>
                <c:pt idx="8">
                  <c:v>1489157.4627848696</c:v>
                </c:pt>
                <c:pt idx="9">
                  <c:v>1435233.3211242445</c:v>
                </c:pt>
                <c:pt idx="10">
                  <c:v>1413828.1728903726</c:v>
                </c:pt>
                <c:pt idx="11">
                  <c:v>1642135.4681763928</c:v>
                </c:pt>
                <c:pt idx="12">
                  <c:v>1828566.0400628429</c:v>
                </c:pt>
                <c:pt idx="13">
                  <c:v>2304703.2888242416</c:v>
                </c:pt>
              </c:numCache>
            </c:numRef>
          </c:yVal>
          <c:smooth val="1"/>
          <c:extLst>
            <c:ext xmlns:c16="http://schemas.microsoft.com/office/drawing/2014/chart" uri="{C3380CC4-5D6E-409C-BE32-E72D297353CC}">
              <c16:uniqueId val="{00000001-7E60-471B-8666-AA8D1D3F8A15}"/>
            </c:ext>
          </c:extLst>
        </c:ser>
        <c:ser>
          <c:idx val="2"/>
          <c:order val="2"/>
          <c:tx>
            <c:strRef>
              <c:f>'Med-EE Detailed'!$A$15</c:f>
              <c:strCache>
                <c:ptCount val="1"/>
                <c:pt idx="0">
                  <c:v>Total Marginal NPV</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'Med-EE Detailed'!$B$18:$O$18</c:f>
              <c:numCache>
                <c:formatCode>"$"#,##0.00;[Red]"$"#,##0.00</c:formatCode>
                <c:ptCount val="14"/>
                <c:pt idx="0">
                  <c:v>1414120.2429865745</c:v>
                </c:pt>
                <c:pt idx="1">
                  <c:v>1499120.2429865745</c:v>
                </c:pt>
                <c:pt idx="2">
                  <c:v>2474301.5429865746</c:v>
                </c:pt>
                <c:pt idx="3">
                  <c:v>2559301.5429865746</c:v>
                </c:pt>
                <c:pt idx="4">
                  <c:v>2975775.1229865747</c:v>
                </c:pt>
                <c:pt idx="5">
                  <c:v>3060775.1229865747</c:v>
                </c:pt>
                <c:pt idx="6">
                  <c:v>3095775.1229865747</c:v>
                </c:pt>
                <c:pt idx="7">
                  <c:v>3927107.442986575</c:v>
                </c:pt>
                <c:pt idx="8">
                  <c:v>3981660.5829865746</c:v>
                </c:pt>
                <c:pt idx="9">
                  <c:v>4933977.0729865748</c:v>
                </c:pt>
                <c:pt idx="10">
                  <c:v>5678209.2229865743</c:v>
                </c:pt>
                <c:pt idx="11">
                  <c:v>6289761.3829865744</c:v>
                </c:pt>
                <c:pt idx="12">
                  <c:v>6793602.6129865749</c:v>
                </c:pt>
                <c:pt idx="13">
                  <c:v>7803154.942986575</c:v>
                </c:pt>
              </c:numCache>
            </c:numRef>
          </c:xVal>
          <c:yVal>
            <c:numRef>
              <c:f>'Med-EE Detailed'!$B$15:$O$15</c:f>
              <c:numCache>
                <c:formatCode>"$"#,##0.00;[Red]"$"#,##0.00</c:formatCode>
                <c:ptCount val="14"/>
                <c:pt idx="0">
                  <c:v>2530293.3189135315</c:v>
                </c:pt>
                <c:pt idx="1">
                  <c:v>2390902.7487261547</c:v>
                </c:pt>
                <c:pt idx="2">
                  <c:v>1967586.5778328395</c:v>
                </c:pt>
                <c:pt idx="3">
                  <c:v>1902344.5684255203</c:v>
                </c:pt>
                <c:pt idx="4">
                  <c:v>1611318.048918088</c:v>
                </c:pt>
                <c:pt idx="5">
                  <c:v>1524577.2478402508</c:v>
                </c:pt>
                <c:pt idx="6">
                  <c:v>1488228.1261604577</c:v>
                </c:pt>
                <c:pt idx="7">
                  <c:v>2582356.3061747756</c:v>
                </c:pt>
                <c:pt idx="8">
                  <c:v>670709.34517595079</c:v>
                </c:pt>
                <c:pt idx="9">
                  <c:v>1694429.1491511827</c:v>
                </c:pt>
                <c:pt idx="10">
                  <c:v>2434501.8640744081</c:v>
                </c:pt>
                <c:pt idx="11">
                  <c:v>6278821.326773989</c:v>
                </c:pt>
                <c:pt idx="12">
                  <c:v>5693665.6366318567</c:v>
                </c:pt>
                <c:pt idx="13">
                  <c:v>4659885.3450425277</c:v>
                </c:pt>
              </c:numCache>
            </c:numRef>
          </c:yVal>
          <c:smooth val="1"/>
          <c:extLst>
            <c:ext xmlns:c16="http://schemas.microsoft.com/office/drawing/2014/chart" uri="{C3380CC4-5D6E-409C-BE32-E72D297353CC}">
              <c16:uniqueId val="{00000002-7E60-471B-8666-AA8D1D3F8A15}"/>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320235580308559"/>
              <c:y val="0.875318080998989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Medium-EE</a:t>
            </a:r>
            <a:r>
              <a:rPr lang="en-US"/>
              <a:t> without Stoves Detailed Results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989627065703805"/>
          <c:w val="0.83095013123359585"/>
          <c:h val="0.67001955788403433"/>
        </c:manualLayout>
      </c:layout>
      <c:scatterChart>
        <c:scatterStyle val="smoothMarker"/>
        <c:varyColors val="0"/>
        <c:ser>
          <c:idx val="0"/>
          <c:order val="0"/>
          <c:tx>
            <c:strRef>
              <c:f>'Med-EE no Stoves Detailed'!$A$13</c:f>
              <c:strCache>
                <c:ptCount val="1"/>
                <c:pt idx="0">
                  <c:v>Marginal NPV (Utility Only)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Detailed'!$B$13:$S$13</c:f>
              <c:numCache>
                <c:formatCode>"$"#,##0.00;[Red]"$"#,##0.00</c:formatCode>
                <c:ptCount val="18"/>
                <c:pt idx="0">
                  <c:v>1077750.0826017158</c:v>
                </c:pt>
                <c:pt idx="1">
                  <c:v>941285.19404199626</c:v>
                </c:pt>
                <c:pt idx="2">
                  <c:v>780610.77017152775</c:v>
                </c:pt>
                <c:pt idx="3">
                  <c:v>2272355.0259361574</c:v>
                </c:pt>
                <c:pt idx="4">
                  <c:v>2136489.6391906859</c:v>
                </c:pt>
                <c:pt idx="5">
                  <c:v>629228.44357135613</c:v>
                </c:pt>
                <c:pt idx="6">
                  <c:v>602022.07723743189</c:v>
                </c:pt>
                <c:pt idx="7">
                  <c:v>358806.05025618616</c:v>
                </c:pt>
                <c:pt idx="8">
                  <c:v>1307461.4700315511</c:v>
                </c:pt>
                <c:pt idx="9">
                  <c:v>-731394.04138491582</c:v>
                </c:pt>
                <c:pt idx="10">
                  <c:v>-856191.2794650672</c:v>
                </c:pt>
                <c:pt idx="11">
                  <c:v>-896365.05750069674</c:v>
                </c:pt>
                <c:pt idx="12">
                  <c:v>119329.49902311061</c:v>
                </c:pt>
                <c:pt idx="13">
                  <c:v>906509.24935666006</c:v>
                </c:pt>
                <c:pt idx="14">
                  <c:v>4429355.0641797027</c:v>
                </c:pt>
                <c:pt idx="15">
                  <c:v>3928397.4816518119</c:v>
                </c:pt>
                <c:pt idx="16">
                  <c:v>3596169.0946004158</c:v>
                </c:pt>
                <c:pt idx="17">
                  <c:v>2313122.3315650942</c:v>
                </c:pt>
              </c:numCache>
            </c:numRef>
          </c:yVal>
          <c:smooth val="1"/>
          <c:extLst>
            <c:ext xmlns:c16="http://schemas.microsoft.com/office/drawing/2014/chart" uri="{C3380CC4-5D6E-409C-BE32-E72D297353CC}">
              <c16:uniqueId val="{00000000-182E-4E69-B61F-502BDCD93A4C}"/>
            </c:ext>
          </c:extLst>
        </c:ser>
        <c:ser>
          <c:idx val="1"/>
          <c:order val="1"/>
          <c:tx>
            <c:strRef>
              <c:f>'Med-EE no Stoves Detailed'!$A$14</c:f>
              <c:strCache>
                <c:ptCount val="1"/>
                <c:pt idx="0">
                  <c:v>Marginal NPV (Heating Customers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Detailed'!$B$14:$S$14</c:f>
              <c:numCache>
                <c:formatCode>"$"#,##0.00;[Red]"$"#,##0.00</c:formatCode>
                <c:ptCount val="18"/>
                <c:pt idx="0">
                  <c:v>1331860.0482482482</c:v>
                </c:pt>
                <c:pt idx="1">
                  <c:v>1282541.0079823919</c:v>
                </c:pt>
                <c:pt idx="2">
                  <c:v>1282538.0988938892</c:v>
                </c:pt>
                <c:pt idx="3">
                  <c:v>1154060.8764607515</c:v>
                </c:pt>
                <c:pt idx="4">
                  <c:v>1157291.6351810023</c:v>
                </c:pt>
                <c:pt idx="5">
                  <c:v>1212759.9123055227</c:v>
                </c:pt>
                <c:pt idx="6">
                  <c:v>1212764.0345251774</c:v>
                </c:pt>
                <c:pt idx="7">
                  <c:v>1154526.1729142284</c:v>
                </c:pt>
                <c:pt idx="8">
                  <c:v>968493.317436276</c:v>
                </c:pt>
                <c:pt idx="9">
                  <c:v>1081664.2663800577</c:v>
                </c:pt>
                <c:pt idx="10">
                  <c:v>1081676.2387714013</c:v>
                </c:pt>
                <c:pt idx="11">
                  <c:v>1081673.5128657017</c:v>
                </c:pt>
                <c:pt idx="12">
                  <c:v>909764.39731869847</c:v>
                </c:pt>
                <c:pt idx="13">
                  <c:v>728295.11195403244</c:v>
                </c:pt>
                <c:pt idx="14">
                  <c:v>370585.13042559754</c:v>
                </c:pt>
                <c:pt idx="15">
                  <c:v>327493.07052830327</c:v>
                </c:pt>
                <c:pt idx="16">
                  <c:v>352904.48146409448</c:v>
                </c:pt>
                <c:pt idx="17">
                  <c:v>310262.63030813448</c:v>
                </c:pt>
              </c:numCache>
            </c:numRef>
          </c:yVal>
          <c:smooth val="1"/>
          <c:extLst>
            <c:ext xmlns:c16="http://schemas.microsoft.com/office/drawing/2014/chart" uri="{C3380CC4-5D6E-409C-BE32-E72D297353CC}">
              <c16:uniqueId val="{00000001-182E-4E69-B61F-502BDCD93A4C}"/>
            </c:ext>
          </c:extLst>
        </c:ser>
        <c:ser>
          <c:idx val="2"/>
          <c:order val="2"/>
          <c:tx>
            <c:strRef>
              <c:f>'Med-EE no Stoves Detailed'!$A$15</c:f>
              <c:strCache>
                <c:ptCount val="1"/>
                <c:pt idx="0">
                  <c:v>Total Marginal NPV</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'Med-EE no Stoves Detailed'!$B$18:$S$18</c:f>
              <c:numCache>
                <c:formatCode>"$"#,##0.00;[Red]"$"#,##0.00</c:formatCode>
                <c:ptCount val="18"/>
                <c:pt idx="0">
                  <c:v>1414119.9899158319</c:v>
                </c:pt>
                <c:pt idx="1">
                  <c:v>1964119.9899158319</c:v>
                </c:pt>
                <c:pt idx="2">
                  <c:v>2049119.9899158319</c:v>
                </c:pt>
                <c:pt idx="3">
                  <c:v>2364119.9899158319</c:v>
                </c:pt>
                <c:pt idx="4">
                  <c:v>2449119.9899158319</c:v>
                </c:pt>
                <c:pt idx="5">
                  <c:v>2464119.9899158319</c:v>
                </c:pt>
                <c:pt idx="6">
                  <c:v>2549119.9899158319</c:v>
                </c:pt>
                <c:pt idx="7">
                  <c:v>2964119.9899158319</c:v>
                </c:pt>
                <c:pt idx="8">
                  <c:v>3914119.9899158319</c:v>
                </c:pt>
                <c:pt idx="9">
                  <c:v>3964119.9899158319</c:v>
                </c:pt>
                <c:pt idx="10">
                  <c:v>4049119.9899158319</c:v>
                </c:pt>
                <c:pt idx="11">
                  <c:v>4084119.9899158319</c:v>
                </c:pt>
                <c:pt idx="12">
                  <c:v>4914119.9899158319</c:v>
                </c:pt>
                <c:pt idx="13">
                  <c:v>5655278.2499158317</c:v>
                </c:pt>
                <c:pt idx="14">
                  <c:v>6255278.2499158317</c:v>
                </c:pt>
                <c:pt idx="15">
                  <c:v>6755278.2499158317</c:v>
                </c:pt>
                <c:pt idx="16">
                  <c:v>6840278.2499158317</c:v>
                </c:pt>
                <c:pt idx="17">
                  <c:v>7755278.2499158317</c:v>
                </c:pt>
              </c:numCache>
            </c:numRef>
          </c:xVal>
          <c:yVal>
            <c:numRef>
              <c:f>'Med-EE no Stoves Detailed'!$B$15:$S$15</c:f>
              <c:numCache>
                <c:formatCode>"$"#,##0.00;[Red]"$"#,##0.00</c:formatCode>
                <c:ptCount val="18"/>
                <c:pt idx="0">
                  <c:v>2409610.130849964</c:v>
                </c:pt>
                <c:pt idx="1">
                  <c:v>2223826.2020243881</c:v>
                </c:pt>
                <c:pt idx="2">
                  <c:v>2063148.869065417</c:v>
                </c:pt>
                <c:pt idx="3">
                  <c:v>3426415.902396909</c:v>
                </c:pt>
                <c:pt idx="4">
                  <c:v>3293781.2743716883</c:v>
                </c:pt>
                <c:pt idx="5">
                  <c:v>1841988.3558768788</c:v>
                </c:pt>
                <c:pt idx="6">
                  <c:v>1814786.1117626093</c:v>
                </c:pt>
                <c:pt idx="7">
                  <c:v>1513332.2231704146</c:v>
                </c:pt>
                <c:pt idx="8">
                  <c:v>2275954.7874678271</c:v>
                </c:pt>
                <c:pt idx="9">
                  <c:v>350270.22499514185</c:v>
                </c:pt>
                <c:pt idx="10">
                  <c:v>225484.95930633415</c:v>
                </c:pt>
                <c:pt idx="11">
                  <c:v>185308.45536500495</c:v>
                </c:pt>
                <c:pt idx="12">
                  <c:v>1029093.8963418091</c:v>
                </c:pt>
                <c:pt idx="13">
                  <c:v>1634804.3613106925</c:v>
                </c:pt>
                <c:pt idx="14">
                  <c:v>4799940.1946053002</c:v>
                </c:pt>
                <c:pt idx="15">
                  <c:v>4255890.5521801151</c:v>
                </c:pt>
                <c:pt idx="16">
                  <c:v>3949073.5760645103</c:v>
                </c:pt>
                <c:pt idx="17">
                  <c:v>2623384.9618732287</c:v>
                </c:pt>
              </c:numCache>
            </c:numRef>
          </c:yVal>
          <c:smooth val="1"/>
          <c:extLst>
            <c:ext xmlns:c16="http://schemas.microsoft.com/office/drawing/2014/chart" uri="{C3380CC4-5D6E-409C-BE32-E72D297353CC}">
              <c16:uniqueId val="{00000002-182E-4E69-B61F-502BDCD93A4C}"/>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320235580308559"/>
              <c:y val="0.875318080998989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Medium-EE with Stoves Detailed Results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20150225124298"/>
          <c:y val="0.10989627065703805"/>
          <c:w val="0.83095013123359585"/>
          <c:h val="0.67001955788403433"/>
        </c:manualLayout>
      </c:layout>
      <c:scatterChart>
        <c:scatterStyle val="smoothMarker"/>
        <c:varyColors val="0"/>
        <c:ser>
          <c:idx val="0"/>
          <c:order val="0"/>
          <c:tx>
            <c:strRef>
              <c:f>'High-EE Detailed'!$A$13</c:f>
              <c:strCache>
                <c:ptCount val="1"/>
                <c:pt idx="0">
                  <c:v>Marginal NPV (Utility Only)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Detailed'!$B$13:$P$13</c:f>
              <c:numCache>
                <c:formatCode>"$"#,##0.00;[Red]"$"#,##0.00</c:formatCode>
                <c:ptCount val="15"/>
                <c:pt idx="0">
                  <c:v>1854284.5271657417</c:v>
                </c:pt>
                <c:pt idx="1">
                  <c:v>1733673.1148800114</c:v>
                </c:pt>
                <c:pt idx="2">
                  <c:v>1473672.9087897753</c:v>
                </c:pt>
                <c:pt idx="3">
                  <c:v>1122096.0586646581</c:v>
                </c:pt>
                <c:pt idx="4">
                  <c:v>2131643.1934375511</c:v>
                </c:pt>
                <c:pt idx="5">
                  <c:v>64.184221251867712</c:v>
                </c:pt>
                <c:pt idx="6">
                  <c:v>-125052.13676970545</c:v>
                </c:pt>
                <c:pt idx="7">
                  <c:v>857711.12699861173</c:v>
                </c:pt>
                <c:pt idx="8">
                  <c:v>753506.79199060146</c:v>
                </c:pt>
                <c:pt idx="9">
                  <c:v>5718748.8034566389</c:v>
                </c:pt>
                <c:pt idx="10">
                  <c:v>5067367.2644083584</c:v>
                </c:pt>
                <c:pt idx="11">
                  <c:v>4941818.8672949141</c:v>
                </c:pt>
                <c:pt idx="12">
                  <c:v>4373930.4319668291</c:v>
                </c:pt>
                <c:pt idx="13">
                  <c:v>2770880.2229370112</c:v>
                </c:pt>
                <c:pt idx="14">
                  <c:v>2581060.9440006102</c:v>
                </c:pt>
              </c:numCache>
            </c:numRef>
          </c:yVal>
          <c:smooth val="1"/>
          <c:extLst>
            <c:ext xmlns:c16="http://schemas.microsoft.com/office/drawing/2014/chart" uri="{C3380CC4-5D6E-409C-BE32-E72D297353CC}">
              <c16:uniqueId val="{00000000-3D9F-4C3B-B370-8C7C55E21E9A}"/>
            </c:ext>
          </c:extLst>
        </c:ser>
        <c:ser>
          <c:idx val="1"/>
          <c:order val="1"/>
          <c:tx>
            <c:strRef>
              <c:f>'High-EE Detailed'!$A$14</c:f>
              <c:strCache>
                <c:ptCount val="1"/>
                <c:pt idx="0">
                  <c:v>Marginal NPV (Heating Customers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Detailed'!$B$14:$P$14</c:f>
              <c:numCache>
                <c:formatCode>"$"#,##0.00;[Red]"$"#,##0.00</c:formatCode>
                <c:ptCount val="15"/>
                <c:pt idx="0">
                  <c:v>532501.45343950763</c:v>
                </c:pt>
                <c:pt idx="1">
                  <c:v>532499.19267776981</c:v>
                </c:pt>
                <c:pt idx="2">
                  <c:v>421058.25542951748</c:v>
                </c:pt>
                <c:pt idx="3">
                  <c:v>454601.13249838725</c:v>
                </c:pt>
                <c:pt idx="4">
                  <c:v>351415.68218396045</c:v>
                </c:pt>
                <c:pt idx="5">
                  <c:v>714473.29475210886</c:v>
                </c:pt>
                <c:pt idx="6">
                  <c:v>714473.29475210886</c:v>
                </c:pt>
                <c:pt idx="7">
                  <c:v>672244.2313286541</c:v>
                </c:pt>
                <c:pt idx="8">
                  <c:v>671568.03310821578</c:v>
                </c:pt>
                <c:pt idx="9">
                  <c:v>835282.54971279949</c:v>
                </c:pt>
                <c:pt idx="10">
                  <c:v>1003656.3485771371</c:v>
                </c:pt>
                <c:pt idx="11">
                  <c:v>1009713.1622918118</c:v>
                </c:pt>
                <c:pt idx="12">
                  <c:v>1221895.8297260441</c:v>
                </c:pt>
                <c:pt idx="13">
                  <c:v>1676131.3916123398</c:v>
                </c:pt>
                <c:pt idx="14">
                  <c:v>1681551.4337053895</c:v>
                </c:pt>
              </c:numCache>
            </c:numRef>
          </c:yVal>
          <c:smooth val="1"/>
          <c:extLst>
            <c:ext xmlns:c16="http://schemas.microsoft.com/office/drawing/2014/chart" uri="{C3380CC4-5D6E-409C-BE32-E72D297353CC}">
              <c16:uniqueId val="{00000001-3D9F-4C3B-B370-8C7C55E21E9A}"/>
            </c:ext>
          </c:extLst>
        </c:ser>
        <c:ser>
          <c:idx val="2"/>
          <c:order val="2"/>
          <c:tx>
            <c:strRef>
              <c:f>'High-EE Detailed'!$A$15</c:f>
              <c:strCache>
                <c:ptCount val="1"/>
                <c:pt idx="0">
                  <c:v>Total Marginal NPV</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'High-EE Detailed'!$B$18:$P$18</c:f>
              <c:numCache>
                <c:formatCode>"$"#,##0.00;[Red]"$"#,##0.00</c:formatCode>
                <c:ptCount val="15"/>
                <c:pt idx="0">
                  <c:v>3040717.2838828554</c:v>
                </c:pt>
                <c:pt idx="1">
                  <c:v>3160717.2838828554</c:v>
                </c:pt>
                <c:pt idx="2">
                  <c:v>4100981.9738828554</c:v>
                </c:pt>
                <c:pt idx="3">
                  <c:v>4602648.4238828551</c:v>
                </c:pt>
                <c:pt idx="4">
                  <c:v>5554114.513882855</c:v>
                </c:pt>
                <c:pt idx="5">
                  <c:v>5608832.5838828553</c:v>
                </c:pt>
                <c:pt idx="6">
                  <c:v>5728832.5838828553</c:v>
                </c:pt>
                <c:pt idx="7">
                  <c:v>6561300.0538828559</c:v>
                </c:pt>
                <c:pt idx="8">
                  <c:v>6681300.9338828549</c:v>
                </c:pt>
                <c:pt idx="9">
                  <c:v>7414877.6738828551</c:v>
                </c:pt>
                <c:pt idx="10">
                  <c:v>7918667.1438828548</c:v>
                </c:pt>
                <c:pt idx="11">
                  <c:v>8003606.1338828551</c:v>
                </c:pt>
                <c:pt idx="12">
                  <c:v>8423222.0538828559</c:v>
                </c:pt>
                <c:pt idx="13">
                  <c:v>9432190.3538828548</c:v>
                </c:pt>
                <c:pt idx="14">
                  <c:v>9552109.8538828548</c:v>
                </c:pt>
              </c:numCache>
            </c:numRef>
          </c:xVal>
          <c:yVal>
            <c:numRef>
              <c:f>'High-EE Detailed'!$B$15:$P$15</c:f>
              <c:numCache>
                <c:formatCode>"$"#,##0.00;[Red]"$"#,##0.00</c:formatCode>
                <c:ptCount val="15"/>
                <c:pt idx="0">
                  <c:v>2386785.9806052493</c:v>
                </c:pt>
                <c:pt idx="1">
                  <c:v>2266172.3075577812</c:v>
                </c:pt>
                <c:pt idx="2">
                  <c:v>1894731.1642192928</c:v>
                </c:pt>
                <c:pt idx="3">
                  <c:v>1576697.1911630454</c:v>
                </c:pt>
                <c:pt idx="4">
                  <c:v>2483058.8756215116</c:v>
                </c:pt>
                <c:pt idx="5">
                  <c:v>714537.47897336073</c:v>
                </c:pt>
                <c:pt idx="6">
                  <c:v>589421.15798240341</c:v>
                </c:pt>
                <c:pt idx="7">
                  <c:v>1529955.3583272658</c:v>
                </c:pt>
                <c:pt idx="8">
                  <c:v>1425074.8250988172</c:v>
                </c:pt>
                <c:pt idx="9">
                  <c:v>6554031.3531694384</c:v>
                </c:pt>
                <c:pt idx="10">
                  <c:v>6071023.6129854955</c:v>
                </c:pt>
                <c:pt idx="11">
                  <c:v>5951532.0295867259</c:v>
                </c:pt>
                <c:pt idx="12">
                  <c:v>5595826.2616928732</c:v>
                </c:pt>
                <c:pt idx="13">
                  <c:v>4447011.6145493509</c:v>
                </c:pt>
                <c:pt idx="14">
                  <c:v>4262612.3777059997</c:v>
                </c:pt>
              </c:numCache>
            </c:numRef>
          </c:yVal>
          <c:smooth val="1"/>
          <c:extLst>
            <c:ext xmlns:c16="http://schemas.microsoft.com/office/drawing/2014/chart" uri="{C3380CC4-5D6E-409C-BE32-E72D297353CC}">
              <c16:uniqueId val="{00000002-3D9F-4C3B-B370-8C7C55E21E9A}"/>
            </c:ext>
          </c:extLst>
        </c:ser>
        <c:dLbls>
          <c:showLegendKey val="0"/>
          <c:showVal val="0"/>
          <c:showCatName val="0"/>
          <c:showSerName val="0"/>
          <c:showPercent val="0"/>
          <c:showBubbleSize val="0"/>
        </c:dLbls>
        <c:axId val="325650376"/>
        <c:axId val="325650704"/>
      </c:scatterChart>
      <c:valAx>
        <c:axId val="325650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Capital Cost</a:t>
                </a:r>
              </a:p>
            </c:rich>
          </c:tx>
          <c:layout>
            <c:manualLayout>
              <c:xMode val="edge"/>
              <c:yMode val="edge"/>
              <c:x val="0.44320235580308559"/>
              <c:y val="0.875318080998989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704"/>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32565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Marginal NPV (includes capital cost)</a:t>
                </a:r>
              </a:p>
            </c:rich>
          </c:tx>
          <c:layout>
            <c:manualLayout>
              <c:xMode val="edge"/>
              <c:yMode val="edge"/>
              <c:x val="3.0531207989245246E-2"/>
              <c:y val="0.24668387362289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65037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chart" Target="../charts/chart2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chart" Target="../charts/chart19.xml"/><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28575</xdr:rowOff>
    </xdr:from>
    <xdr:to>
      <xdr:col>13</xdr:col>
      <xdr:colOff>189865</xdr:colOff>
      <xdr:row>53</xdr:row>
      <xdr:rowOff>120650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19075"/>
          <a:ext cx="7771765" cy="9998075"/>
        </a:xfrm>
        <a:prstGeom prst="rect">
          <a:avLst/>
        </a:prstGeom>
        <a:solidFill>
          <a:schemeClr val="bg1"/>
        </a:solidFill>
      </xdr:spPr>
    </xdr:pic>
    <xdr:clientData/>
  </xdr:twoCellAnchor>
  <xdr:twoCellAnchor>
    <xdr:from>
      <xdr:col>1</xdr:col>
      <xdr:colOff>123824</xdr:colOff>
      <xdr:row>16</xdr:row>
      <xdr:rowOff>66674</xdr:rowOff>
    </xdr:from>
    <xdr:to>
      <xdr:col>10</xdr:col>
      <xdr:colOff>342899</xdr:colOff>
      <xdr:row>42</xdr:row>
      <xdr:rowOff>66675</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733424" y="3114674"/>
          <a:ext cx="5705475" cy="4953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4000">
              <a:solidFill>
                <a:srgbClr val="ED6A00"/>
              </a:solidFill>
              <a:effectLst/>
              <a:latin typeface="Arial" panose="020B0604020202020204" pitchFamily="34" charset="0"/>
              <a:ea typeface="Times New Roman" panose="02020603050405020304" pitchFamily="18" charset="0"/>
            </a:rPr>
            <a:t>Shungnak Energy Configuration Options</a:t>
          </a:r>
        </a:p>
        <a:p>
          <a:pPr marL="0" marR="0">
            <a:spcBef>
              <a:spcPts val="0"/>
            </a:spcBef>
            <a:spcAft>
              <a:spcPts val="1800"/>
            </a:spcAft>
            <a:tabLst>
              <a:tab pos="1714500" algn="l"/>
            </a:tabLst>
          </a:pPr>
          <a:r>
            <a:rPr lang="en-US" sz="2400">
              <a:solidFill>
                <a:schemeClr val="tx1"/>
              </a:solidFill>
              <a:effectLst/>
              <a:latin typeface="Arial" panose="020B0604020202020204" pitchFamily="34" charset="0"/>
              <a:ea typeface="MS Mincho"/>
              <a:cs typeface="Arial" panose="020B0604020202020204" pitchFamily="34" charset="0"/>
            </a:rPr>
            <a:t>Energy Infrastructure Optimization to Reduce Fuel Cost and Dependence in Shungnak Alaska: </a:t>
          </a:r>
          <a:r>
            <a:rPr lang="en-US" sz="2400">
              <a:solidFill>
                <a:schemeClr val="tx1"/>
              </a:solidFill>
              <a:effectLst/>
              <a:latin typeface="Arial" panose="020B0604020202020204" pitchFamily="34" charset="0"/>
              <a:ea typeface="MS Mincho"/>
              <a:cs typeface="Times New Roman" panose="02020603050405020304" pitchFamily="18" charset="0"/>
            </a:rPr>
            <a:t>Detailed</a:t>
          </a:r>
          <a:r>
            <a:rPr lang="en-US" sz="2400" baseline="0">
              <a:solidFill>
                <a:schemeClr val="tx1"/>
              </a:solidFill>
              <a:effectLst/>
              <a:latin typeface="Arial" panose="020B0604020202020204" pitchFamily="34" charset="0"/>
              <a:ea typeface="MS Mincho"/>
              <a:cs typeface="Times New Roman" panose="02020603050405020304" pitchFamily="18" charset="0"/>
            </a:rPr>
            <a:t> Analysis</a:t>
          </a:r>
        </a:p>
        <a:p>
          <a:pPr marL="0" marR="0">
            <a:spcBef>
              <a:spcPts val="0"/>
            </a:spcBef>
            <a:spcAft>
              <a:spcPts val="1800"/>
            </a:spcAft>
            <a:tabLst>
              <a:tab pos="1714500" algn="l"/>
            </a:tabLst>
          </a:pPr>
          <a:r>
            <a:rPr lang="en-US" sz="2400" b="1">
              <a:solidFill>
                <a:schemeClr val="tx1"/>
              </a:solidFill>
              <a:effectLst/>
              <a:latin typeface="Arial" panose="020B0604020202020204" pitchFamily="34" charset="0"/>
              <a:ea typeface="MS Mincho"/>
              <a:cs typeface="Times New Roman" panose="02020603050405020304" pitchFamily="18" charset="0"/>
            </a:rPr>
            <a:t>Publish Date: </a:t>
          </a:r>
        </a:p>
        <a:p>
          <a:pPr marL="0" marR="0" lvl="0">
            <a:spcBef>
              <a:spcPts val="0"/>
            </a:spcBef>
            <a:spcAft>
              <a:spcPts val="1800"/>
            </a:spcAft>
            <a:tabLst>
              <a:tab pos="1714500" algn="l"/>
            </a:tabLst>
          </a:pPr>
          <a:r>
            <a:rPr lang="en-US" sz="2000">
              <a:solidFill>
                <a:schemeClr val="tx1"/>
              </a:solidFill>
              <a:effectLst/>
              <a:latin typeface="Arial" panose="020B0604020202020204" pitchFamily="34" charset="0"/>
              <a:ea typeface="MS Mincho"/>
              <a:cs typeface="Times New Roman" panose="02020603050405020304" pitchFamily="18" charset="0"/>
            </a:rPr>
            <a:t>DM Rosewater	</a:t>
          </a:r>
        </a:p>
        <a:p>
          <a:pPr marL="0" marR="0" lvl="0">
            <a:spcBef>
              <a:spcPts val="0"/>
            </a:spcBef>
            <a:spcAft>
              <a:spcPts val="1800"/>
            </a:spcAft>
            <a:tabLst>
              <a:tab pos="1714500" algn="l"/>
            </a:tabLst>
          </a:pPr>
          <a:r>
            <a:rPr lang="en-US" sz="2000">
              <a:solidFill>
                <a:schemeClr val="tx1"/>
              </a:solidFill>
              <a:effectLst/>
              <a:latin typeface="Arial" panose="020B0604020202020204" pitchFamily="34" charset="0"/>
              <a:ea typeface="MS Mincho"/>
              <a:cs typeface="Times New Roman" panose="02020603050405020304" pitchFamily="18" charset="0"/>
            </a:rPr>
            <a:t>JP Eddy</a:t>
          </a:r>
          <a:r>
            <a:rPr lang="en-US" sz="2400">
              <a:solidFill>
                <a:schemeClr val="tx1"/>
              </a:solidFill>
              <a:effectLst/>
              <a:latin typeface="Arial" panose="020B0604020202020204" pitchFamily="34" charset="0"/>
              <a:ea typeface="MS Mincho"/>
              <a:cs typeface="Times New Roman" panose="02020603050405020304" pitchFamily="18" charset="0"/>
            </a:rPr>
            <a:t>	</a:t>
          </a:r>
        </a:p>
        <a:p>
          <a:pPr marL="0" marR="0">
            <a:spcBef>
              <a:spcPts val="0"/>
            </a:spcBef>
            <a:spcAft>
              <a:spcPts val="1800"/>
            </a:spcAft>
            <a:tabLst>
              <a:tab pos="1714500" algn="l"/>
            </a:tabLst>
          </a:pPr>
          <a:r>
            <a:rPr lang="en-US" sz="2400">
              <a:solidFill>
                <a:schemeClr val="tx1"/>
              </a:solidFill>
              <a:effectLst/>
              <a:latin typeface="Arial" panose="020B0604020202020204" pitchFamily="34" charset="0"/>
              <a:ea typeface="MS Mincho"/>
              <a:cs typeface="Times New Roman" panose="02020603050405020304" pitchFamily="18" charset="0"/>
            </a:rPr>
            <a:t> </a:t>
          </a:r>
        </a:p>
        <a:p>
          <a:pPr marL="0" marR="0">
            <a:spcBef>
              <a:spcPts val="0"/>
            </a:spcBef>
            <a:spcAft>
              <a:spcPts val="1800"/>
            </a:spcAft>
            <a:tabLst>
              <a:tab pos="1714500" algn="l"/>
            </a:tabLst>
          </a:pPr>
          <a:endParaRPr lang="en-US" sz="2400">
            <a:solidFill>
              <a:schemeClr val="tx1"/>
            </a:solidFill>
            <a:effectLst/>
            <a:latin typeface="Arial" panose="020B0604020202020204" pitchFamily="34" charset="0"/>
            <a:ea typeface="MS Mincho"/>
            <a:cs typeface="Times New Roman" panose="02020603050405020304" pitchFamily="18" charset="0"/>
          </a:endParaRPr>
        </a:p>
        <a:p>
          <a:pPr algn="l"/>
          <a:endParaRPr lang="en-US" sz="2400">
            <a:solidFill>
              <a:schemeClr val="tx1"/>
            </a:solidFill>
          </a:endParaRPr>
        </a:p>
      </xdr:txBody>
    </xdr:sp>
    <xdr:clientData/>
  </xdr:twoCellAnchor>
  <xdr:twoCellAnchor>
    <xdr:from>
      <xdr:col>10</xdr:col>
      <xdr:colOff>438149</xdr:colOff>
      <xdr:row>1</xdr:row>
      <xdr:rowOff>114300</xdr:rowOff>
    </xdr:from>
    <xdr:to>
      <xdr:col>12</xdr:col>
      <xdr:colOff>533400</xdr:colOff>
      <xdr:row>2</xdr:row>
      <xdr:rowOff>180975</xdr:rowOff>
    </xdr:to>
    <xdr:sp macro="" textlink="">
      <xdr:nvSpPr>
        <xdr:cNvPr id="4" name="Rectangle 3">
          <a:extLst>
            <a:ext uri="{FF2B5EF4-FFF2-40B4-BE49-F238E27FC236}">
              <a16:creationId xmlns:a16="http://schemas.microsoft.com/office/drawing/2014/main" id="{3E15FB31-EA1F-42EB-84B3-56DD81C22DB6}"/>
            </a:ext>
          </a:extLst>
        </xdr:cNvPr>
        <xdr:cNvSpPr/>
      </xdr:nvSpPr>
      <xdr:spPr>
        <a:xfrm>
          <a:off x="6534149" y="304800"/>
          <a:ext cx="1314451" cy="2571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a:t>SAND2017-11620 O</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561975</xdr:colOff>
      <xdr:row>2</xdr:row>
      <xdr:rowOff>38100</xdr:rowOff>
    </xdr:from>
    <xdr:to>
      <xdr:col>29</xdr:col>
      <xdr:colOff>323850</xdr:colOff>
      <xdr:row>24</xdr:row>
      <xdr:rowOff>57149</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352425</xdr:colOff>
      <xdr:row>1</xdr:row>
      <xdr:rowOff>47625</xdr:rowOff>
    </xdr:from>
    <xdr:to>
      <xdr:col>26</xdr:col>
      <xdr:colOff>114300</xdr:colOff>
      <xdr:row>23</xdr:row>
      <xdr:rowOff>66674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571500</xdr:colOff>
      <xdr:row>2</xdr:row>
      <xdr:rowOff>57150</xdr:rowOff>
    </xdr:from>
    <xdr:to>
      <xdr:col>31</xdr:col>
      <xdr:colOff>333375</xdr:colOff>
      <xdr:row>24</xdr:row>
      <xdr:rowOff>76199</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133350</xdr:colOff>
      <xdr:row>0</xdr:row>
      <xdr:rowOff>95250</xdr:rowOff>
    </xdr:from>
    <xdr:to>
      <xdr:col>11</xdr:col>
      <xdr:colOff>504825</xdr:colOff>
      <xdr:row>22</xdr:row>
      <xdr:rowOff>114299</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466725</xdr:colOff>
      <xdr:row>0</xdr:row>
      <xdr:rowOff>142875</xdr:rowOff>
    </xdr:from>
    <xdr:to>
      <xdr:col>10</xdr:col>
      <xdr:colOff>232029</xdr:colOff>
      <xdr:row>22</xdr:row>
      <xdr:rowOff>158115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0</xdr:row>
      <xdr:rowOff>142875</xdr:rowOff>
    </xdr:from>
    <xdr:to>
      <xdr:col>20</xdr:col>
      <xdr:colOff>365379</xdr:colOff>
      <xdr:row>22</xdr:row>
      <xdr:rowOff>158115</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24</xdr:row>
      <xdr:rowOff>9525</xdr:rowOff>
    </xdr:from>
    <xdr:to>
      <xdr:col>20</xdr:col>
      <xdr:colOff>374904</xdr:colOff>
      <xdr:row>46</xdr:row>
      <xdr:rowOff>24765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180975</xdr:rowOff>
    </xdr:from>
    <xdr:to>
      <xdr:col>20</xdr:col>
      <xdr:colOff>374904</xdr:colOff>
      <xdr:row>69</xdr:row>
      <xdr:rowOff>5715</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70</xdr:row>
      <xdr:rowOff>0</xdr:rowOff>
    </xdr:from>
    <xdr:to>
      <xdr:col>20</xdr:col>
      <xdr:colOff>374904</xdr:colOff>
      <xdr:row>92</xdr:row>
      <xdr:rowOff>15240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1</xdr:row>
      <xdr:rowOff>171450</xdr:rowOff>
    </xdr:from>
    <xdr:to>
      <xdr:col>10</xdr:col>
      <xdr:colOff>419100</xdr:colOff>
      <xdr:row>23</xdr:row>
      <xdr:rowOff>190499</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47625</xdr:colOff>
      <xdr:row>2</xdr:row>
      <xdr:rowOff>19050</xdr:rowOff>
    </xdr:from>
    <xdr:to>
      <xdr:col>20</xdr:col>
      <xdr:colOff>419100</xdr:colOff>
      <xdr:row>24</xdr:row>
      <xdr:rowOff>38099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503464</xdr:colOff>
      <xdr:row>0</xdr:row>
      <xdr:rowOff>136073</xdr:rowOff>
    </xdr:from>
    <xdr:to>
      <xdr:col>8</xdr:col>
      <xdr:colOff>772885</xdr:colOff>
      <xdr:row>14</xdr:row>
      <xdr:rowOff>100112</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a:stretch>
          <a:fillRect/>
        </a:stretch>
      </xdr:blipFill>
      <xdr:spPr>
        <a:xfrm>
          <a:off x="7592785" y="136073"/>
          <a:ext cx="3657600" cy="2631039"/>
        </a:xfrm>
        <a:prstGeom prst="rect">
          <a:avLst/>
        </a:prstGeom>
      </xdr:spPr>
    </xdr:pic>
    <xdr:clientData/>
  </xdr:twoCellAnchor>
  <xdr:twoCellAnchor editAs="oneCell">
    <xdr:from>
      <xdr:col>0</xdr:col>
      <xdr:colOff>108857</xdr:colOff>
      <xdr:row>0</xdr:row>
      <xdr:rowOff>122466</xdr:rowOff>
    </xdr:from>
    <xdr:to>
      <xdr:col>2</xdr:col>
      <xdr:colOff>65314</xdr:colOff>
      <xdr:row>14</xdr:row>
      <xdr:rowOff>86505</xdr:rowOff>
    </xdr:to>
    <xdr:pic>
      <xdr:nvPicPr>
        <xdr:cNvPr id="16" name="Picture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2"/>
        <a:stretch>
          <a:fillRect/>
        </a:stretch>
      </xdr:blipFill>
      <xdr:spPr>
        <a:xfrm>
          <a:off x="108857" y="122466"/>
          <a:ext cx="3657600" cy="2631039"/>
        </a:xfrm>
        <a:prstGeom prst="rect">
          <a:avLst/>
        </a:prstGeom>
      </xdr:spPr>
    </xdr:pic>
    <xdr:clientData/>
  </xdr:twoCellAnchor>
  <xdr:twoCellAnchor editAs="oneCell">
    <xdr:from>
      <xdr:col>2</xdr:col>
      <xdr:colOff>122465</xdr:colOff>
      <xdr:row>0</xdr:row>
      <xdr:rowOff>108858</xdr:rowOff>
    </xdr:from>
    <xdr:to>
      <xdr:col>5</xdr:col>
      <xdr:colOff>391887</xdr:colOff>
      <xdr:row>14</xdr:row>
      <xdr:rowOff>72897</xdr:rowOff>
    </xdr:to>
    <xdr:pic>
      <xdr:nvPicPr>
        <xdr:cNvPr id="17" name="Picture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3"/>
        <a:stretch>
          <a:fillRect/>
        </a:stretch>
      </xdr:blipFill>
      <xdr:spPr>
        <a:xfrm>
          <a:off x="3823608" y="108858"/>
          <a:ext cx="3657600" cy="2631039"/>
        </a:xfrm>
        <a:prstGeom prst="rect">
          <a:avLst/>
        </a:prstGeom>
      </xdr:spPr>
    </xdr:pic>
    <xdr:clientData/>
  </xdr:twoCellAnchor>
  <xdr:twoCellAnchor editAs="oneCell">
    <xdr:from>
      <xdr:col>8</xdr:col>
      <xdr:colOff>938893</xdr:colOff>
      <xdr:row>0</xdr:row>
      <xdr:rowOff>122465</xdr:rowOff>
    </xdr:from>
    <xdr:to>
      <xdr:col>12</xdr:col>
      <xdr:colOff>78922</xdr:colOff>
      <xdr:row>14</xdr:row>
      <xdr:rowOff>86504</xdr:rowOff>
    </xdr:to>
    <xdr:pic>
      <xdr:nvPicPr>
        <xdr:cNvPr id="20" name="Picture 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4"/>
        <a:stretch>
          <a:fillRect/>
        </a:stretch>
      </xdr:blipFill>
      <xdr:spPr>
        <a:xfrm>
          <a:off x="11416393" y="122465"/>
          <a:ext cx="3657600" cy="2631039"/>
        </a:xfrm>
        <a:prstGeom prst="rect">
          <a:avLst/>
        </a:prstGeom>
      </xdr:spPr>
    </xdr:pic>
    <xdr:clientData/>
  </xdr:twoCellAnchor>
  <xdr:twoCellAnchor editAs="oneCell">
    <xdr:from>
      <xdr:col>12</xdr:col>
      <xdr:colOff>231322</xdr:colOff>
      <xdr:row>0</xdr:row>
      <xdr:rowOff>122465</xdr:rowOff>
    </xdr:from>
    <xdr:to>
      <xdr:col>15</xdr:col>
      <xdr:colOff>500743</xdr:colOff>
      <xdr:row>14</xdr:row>
      <xdr:rowOff>86504</xdr:rowOff>
    </xdr:to>
    <xdr:pic>
      <xdr:nvPicPr>
        <xdr:cNvPr id="21" name="Picture 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5"/>
        <a:stretch>
          <a:fillRect/>
        </a:stretch>
      </xdr:blipFill>
      <xdr:spPr>
        <a:xfrm>
          <a:off x="15226393" y="122465"/>
          <a:ext cx="3657600" cy="2631039"/>
        </a:xfrm>
        <a:prstGeom prst="rect">
          <a:avLst/>
        </a:prstGeom>
      </xdr:spPr>
    </xdr:pic>
    <xdr:clientData/>
  </xdr:twoCellAnchor>
  <xdr:twoCellAnchor editAs="oneCell">
    <xdr:from>
      <xdr:col>12</xdr:col>
      <xdr:colOff>231322</xdr:colOff>
      <xdr:row>15</xdr:row>
      <xdr:rowOff>27216</xdr:rowOff>
    </xdr:from>
    <xdr:to>
      <xdr:col>15</xdr:col>
      <xdr:colOff>500743</xdr:colOff>
      <xdr:row>28</xdr:row>
      <xdr:rowOff>181755</xdr:rowOff>
    </xdr:to>
    <xdr:pic>
      <xdr:nvPicPr>
        <xdr:cNvPr id="23" name="Picture 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6"/>
        <a:stretch>
          <a:fillRect/>
        </a:stretch>
      </xdr:blipFill>
      <xdr:spPr>
        <a:xfrm>
          <a:off x="15226393" y="2884716"/>
          <a:ext cx="3657600" cy="2631039"/>
        </a:xfrm>
        <a:prstGeom prst="rect">
          <a:avLst/>
        </a:prstGeom>
      </xdr:spPr>
    </xdr:pic>
    <xdr:clientData/>
  </xdr:twoCellAnchor>
  <xdr:twoCellAnchor editAs="oneCell">
    <xdr:from>
      <xdr:col>8</xdr:col>
      <xdr:colOff>979715</xdr:colOff>
      <xdr:row>15</xdr:row>
      <xdr:rowOff>13608</xdr:rowOff>
    </xdr:from>
    <xdr:to>
      <xdr:col>12</xdr:col>
      <xdr:colOff>119744</xdr:colOff>
      <xdr:row>28</xdr:row>
      <xdr:rowOff>168147</xdr:rowOff>
    </xdr:to>
    <xdr:pic>
      <xdr:nvPicPr>
        <xdr:cNvPr id="24" name="Picture 2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7"/>
        <a:stretch>
          <a:fillRect/>
        </a:stretch>
      </xdr:blipFill>
      <xdr:spPr>
        <a:xfrm>
          <a:off x="11457215" y="2871108"/>
          <a:ext cx="3657600" cy="2631039"/>
        </a:xfrm>
        <a:prstGeom prst="rect">
          <a:avLst/>
        </a:prstGeom>
      </xdr:spPr>
    </xdr:pic>
    <xdr:clientData/>
  </xdr:twoCellAnchor>
  <xdr:twoCellAnchor editAs="oneCell">
    <xdr:from>
      <xdr:col>5</xdr:col>
      <xdr:colOff>530679</xdr:colOff>
      <xdr:row>15</xdr:row>
      <xdr:rowOff>40823</xdr:rowOff>
    </xdr:from>
    <xdr:to>
      <xdr:col>8</xdr:col>
      <xdr:colOff>800100</xdr:colOff>
      <xdr:row>29</xdr:row>
      <xdr:rowOff>2130</xdr:rowOff>
    </xdr:to>
    <xdr:pic>
      <xdr:nvPicPr>
        <xdr:cNvPr id="25" name="Picture 24">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8"/>
        <a:stretch>
          <a:fillRect/>
        </a:stretch>
      </xdr:blipFill>
      <xdr:spPr>
        <a:xfrm>
          <a:off x="7620000" y="2898323"/>
          <a:ext cx="3657600" cy="2628307"/>
        </a:xfrm>
        <a:prstGeom prst="rect">
          <a:avLst/>
        </a:prstGeom>
      </xdr:spPr>
    </xdr:pic>
    <xdr:clientData/>
  </xdr:twoCellAnchor>
  <xdr:twoCellAnchor editAs="oneCell">
    <xdr:from>
      <xdr:col>0</xdr:col>
      <xdr:colOff>54429</xdr:colOff>
      <xdr:row>15</xdr:row>
      <xdr:rowOff>1</xdr:rowOff>
    </xdr:from>
    <xdr:to>
      <xdr:col>2</xdr:col>
      <xdr:colOff>10886</xdr:colOff>
      <xdr:row>28</xdr:row>
      <xdr:rowOff>151808</xdr:rowOff>
    </xdr:to>
    <xdr:pic>
      <xdr:nvPicPr>
        <xdr:cNvPr id="28" name="Picture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9"/>
        <a:stretch>
          <a:fillRect/>
        </a:stretch>
      </xdr:blipFill>
      <xdr:spPr>
        <a:xfrm>
          <a:off x="54429" y="2857501"/>
          <a:ext cx="3657600" cy="2628307"/>
        </a:xfrm>
        <a:prstGeom prst="rect">
          <a:avLst/>
        </a:prstGeom>
      </xdr:spPr>
    </xdr:pic>
    <xdr:clientData/>
  </xdr:twoCellAnchor>
  <xdr:twoCellAnchor editAs="oneCell">
    <xdr:from>
      <xdr:col>2</xdr:col>
      <xdr:colOff>122465</xdr:colOff>
      <xdr:row>15</xdr:row>
      <xdr:rowOff>13608</xdr:rowOff>
    </xdr:from>
    <xdr:to>
      <xdr:col>5</xdr:col>
      <xdr:colOff>391887</xdr:colOff>
      <xdr:row>28</xdr:row>
      <xdr:rowOff>165415</xdr:rowOff>
    </xdr:to>
    <xdr:pic>
      <xdr:nvPicPr>
        <xdr:cNvPr id="29" name="Picture 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10"/>
        <a:stretch>
          <a:fillRect/>
        </a:stretch>
      </xdr:blipFill>
      <xdr:spPr>
        <a:xfrm>
          <a:off x="3823608" y="2871108"/>
          <a:ext cx="3657600" cy="2628307"/>
        </a:xfrm>
        <a:prstGeom prst="rect">
          <a:avLst/>
        </a:prstGeom>
      </xdr:spPr>
    </xdr:pic>
    <xdr:clientData/>
  </xdr:twoCellAnchor>
  <xdr:twoCellAnchor>
    <xdr:from>
      <xdr:col>0</xdr:col>
      <xdr:colOff>2392042</xdr:colOff>
      <xdr:row>65</xdr:row>
      <xdr:rowOff>76014</xdr:rowOff>
    </xdr:from>
    <xdr:to>
      <xdr:col>6</xdr:col>
      <xdr:colOff>37303</xdr:colOff>
      <xdr:row>87</xdr:row>
      <xdr:rowOff>95063</xdr:rowOff>
    </xdr:to>
    <xdr:graphicFrame macro="">
      <xdr:nvGraphicFramePr>
        <xdr:cNvPr id="30" name="Chart 29">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414618</xdr:colOff>
      <xdr:row>65</xdr:row>
      <xdr:rowOff>78441</xdr:rowOff>
    </xdr:from>
    <xdr:to>
      <xdr:col>12</xdr:col>
      <xdr:colOff>637231</xdr:colOff>
      <xdr:row>87</xdr:row>
      <xdr:rowOff>97490</xdr:rowOff>
    </xdr:to>
    <xdr:graphicFrame macro="">
      <xdr:nvGraphicFramePr>
        <xdr:cNvPr id="31" name="Chart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95250</xdr:colOff>
      <xdr:row>0</xdr:row>
      <xdr:rowOff>133350</xdr:rowOff>
    </xdr:from>
    <xdr:to>
      <xdr:col>19</xdr:col>
      <xdr:colOff>470154</xdr:colOff>
      <xdr:row>22</xdr:row>
      <xdr:rowOff>148590</xdr:rowOff>
    </xdr:to>
    <xdr:graphicFrame macro="">
      <xdr:nvGraphicFramePr>
        <xdr:cNvPr id="4" name="Chart 1">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123825</xdr:rowOff>
    </xdr:from>
    <xdr:to>
      <xdr:col>9</xdr:col>
      <xdr:colOff>555879</xdr:colOff>
      <xdr:row>22</xdr:row>
      <xdr:rowOff>139065</xdr:rowOff>
    </xdr:to>
    <xdr:graphicFrame macro="">
      <xdr:nvGraphicFramePr>
        <xdr:cNvPr id="3" name="Chart 1">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266699</xdr:colOff>
      <xdr:row>0</xdr:row>
      <xdr:rowOff>1943101</xdr:rowOff>
    </xdr:from>
    <xdr:to>
      <xdr:col>7</xdr:col>
      <xdr:colOff>85724</xdr:colOff>
      <xdr:row>11</xdr:row>
      <xdr:rowOff>77783</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899" y="1943101"/>
          <a:ext cx="2771775" cy="2554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19050</xdr:colOff>
      <xdr:row>211</xdr:row>
      <xdr:rowOff>123825</xdr:rowOff>
    </xdr:from>
    <xdr:to>
      <xdr:col>7</xdr:col>
      <xdr:colOff>95250</xdr:colOff>
      <xdr:row>226</xdr:row>
      <xdr:rowOff>9525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371475</xdr:colOff>
      <xdr:row>20</xdr:row>
      <xdr:rowOff>66676</xdr:rowOff>
    </xdr:from>
    <xdr:to>
      <xdr:col>13</xdr:col>
      <xdr:colOff>428624</xdr:colOff>
      <xdr:row>53</xdr:row>
      <xdr:rowOff>38100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3686176"/>
          <a:ext cx="7981949" cy="6448424"/>
        </a:xfrm>
        <a:prstGeom prst="rect">
          <a:avLst/>
        </a:prstGeom>
        <a:ln>
          <a:solidFill>
            <a:schemeClr val="accent1"/>
          </a:solidFill>
        </a:ln>
      </xdr:spPr>
    </xdr:pic>
    <xdr:clientData/>
  </xdr:twoCellAnchor>
  <xdr:twoCellAnchor>
    <xdr:from>
      <xdr:col>0</xdr:col>
      <xdr:colOff>409575</xdr:colOff>
      <xdr:row>1</xdr:row>
      <xdr:rowOff>57150</xdr:rowOff>
    </xdr:from>
    <xdr:to>
      <xdr:col>13</xdr:col>
      <xdr:colOff>428625</xdr:colOff>
      <xdr:row>17</xdr:row>
      <xdr:rowOff>180975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09575" y="247650"/>
          <a:ext cx="7943850"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ACEP , "Diesel</a:t>
          </a:r>
          <a:r>
            <a:rPr lang="en-US" sz="1100" baseline="0"/>
            <a:t> Generator Technology Report"</a:t>
          </a:r>
        </a:p>
        <a:p>
          <a:endParaRPr lang="en-US" sz="1100" baseline="0"/>
        </a:p>
        <a:p>
          <a:r>
            <a:rPr lang="en-US" sz="1100" baseline="0"/>
            <a:t>o CAPEX values are for a diesel plant, not just the diesel generator</a:t>
          </a:r>
        </a:p>
        <a:p>
          <a:r>
            <a:rPr lang="en-US" sz="1100"/>
            <a:t>o OPEX values (modeled) assume 55% load factor.  These are for</a:t>
          </a:r>
          <a:r>
            <a:rPr lang="en-US" sz="1100" baseline="0"/>
            <a:t> the  generator only.  The RCA data is for the entire power plant.</a:t>
          </a:r>
        </a:p>
        <a:p>
          <a:r>
            <a:rPr lang="en-US" sz="1100" baseline="0"/>
            <a:t>o See Appendix B for  maintenance intervals and costs</a:t>
          </a:r>
        </a:p>
      </xdr:txBody>
    </xdr:sp>
    <xdr:clientData/>
  </xdr:twoCellAnchor>
  <xdr:twoCellAnchor editAs="oneCell">
    <xdr:from>
      <xdr:col>0</xdr:col>
      <xdr:colOff>342901</xdr:colOff>
      <xdr:row>54</xdr:row>
      <xdr:rowOff>123826</xdr:rowOff>
    </xdr:from>
    <xdr:to>
      <xdr:col>13</xdr:col>
      <xdr:colOff>390525</xdr:colOff>
      <xdr:row>89</xdr:row>
      <xdr:rowOff>7762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1" y="10601326"/>
          <a:ext cx="7972424" cy="6551436"/>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381000</xdr:colOff>
      <xdr:row>18</xdr:row>
      <xdr:rowOff>180975</xdr:rowOff>
    </xdr:from>
    <xdr:to>
      <xdr:col>12</xdr:col>
      <xdr:colOff>447675</xdr:colOff>
      <xdr:row>46</xdr:row>
      <xdr:rowOff>169739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3800475"/>
          <a:ext cx="7381875" cy="5322764"/>
        </a:xfrm>
        <a:prstGeom prst="rect">
          <a:avLst/>
        </a:prstGeom>
        <a:ln>
          <a:solidFill>
            <a:schemeClr val="accent1"/>
          </a:solidFill>
        </a:ln>
      </xdr:spPr>
    </xdr:pic>
    <xdr:clientData/>
  </xdr:twoCellAnchor>
  <xdr:twoCellAnchor>
    <xdr:from>
      <xdr:col>0</xdr:col>
      <xdr:colOff>409575</xdr:colOff>
      <xdr:row>1</xdr:row>
      <xdr:rowOff>57150</xdr:rowOff>
    </xdr:from>
    <xdr:to>
      <xdr:col>12</xdr:col>
      <xdr:colOff>381000</xdr:colOff>
      <xdr:row>15</xdr:row>
      <xdr:rowOff>180975</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09575" y="247650"/>
          <a:ext cx="7286625"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ACEP , "Diesel</a:t>
          </a:r>
          <a:r>
            <a:rPr lang="en-US" sz="1100" baseline="0"/>
            <a:t> Generator Technology Report"</a:t>
          </a:r>
        </a:p>
        <a:p>
          <a:endParaRPr lang="en-US" sz="1100" baseline="0"/>
        </a:p>
        <a:p>
          <a:r>
            <a:rPr lang="en-US" sz="1100" baseline="0"/>
            <a:t>o CAPEX values are for a diesel plant, not just the diesel generator</a:t>
          </a:r>
        </a:p>
        <a:p>
          <a:r>
            <a:rPr lang="en-US" sz="1100"/>
            <a:t>o OPEX values (modeled) assume 55% load factor.  These are for</a:t>
          </a:r>
          <a:r>
            <a:rPr lang="en-US" sz="1100" baseline="0"/>
            <a:t> the  generator only.  The RCA data is for the entire power plant.</a:t>
          </a:r>
        </a:p>
        <a:p>
          <a:r>
            <a:rPr lang="en-US" sz="1100" baseline="0"/>
            <a:t>o See Appendix B for  maintenance intervals and costs</a:t>
          </a:r>
        </a:p>
      </xdr:txBody>
    </xdr:sp>
    <xdr:clientData/>
  </xdr:twoCellAnchor>
  <xdr:twoCellAnchor>
    <xdr:from>
      <xdr:col>14</xdr:col>
      <xdr:colOff>33336</xdr:colOff>
      <xdr:row>8</xdr:row>
      <xdr:rowOff>176212</xdr:rowOff>
    </xdr:from>
    <xdr:to>
      <xdr:col>22</xdr:col>
      <xdr:colOff>561974</xdr:colOff>
      <xdr:row>23</xdr:row>
      <xdr:rowOff>61912</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104775</xdr:colOff>
      <xdr:row>10</xdr:row>
      <xdr:rowOff>9525</xdr:rowOff>
    </xdr:from>
    <xdr:to>
      <xdr:col>9</xdr:col>
      <xdr:colOff>314325</xdr:colOff>
      <xdr:row>24</xdr:row>
      <xdr:rowOff>85725</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25</xdr:row>
      <xdr:rowOff>85725</xdr:rowOff>
    </xdr:from>
    <xdr:to>
      <xdr:col>9</xdr:col>
      <xdr:colOff>295275</xdr:colOff>
      <xdr:row>39</xdr:row>
      <xdr:rowOff>161925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85725</xdr:colOff>
      <xdr:row>2</xdr:row>
      <xdr:rowOff>123825</xdr:rowOff>
    </xdr:from>
    <xdr:to>
      <xdr:col>26</xdr:col>
      <xdr:colOff>457200</xdr:colOff>
      <xdr:row>24</xdr:row>
      <xdr:rowOff>142874</xdr:rowOff>
    </xdr:to>
    <xdr:graphicFrame macro="">
      <xdr:nvGraphicFramePr>
        <xdr:cNvPr id="3" name="Chart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571500</xdr:colOff>
      <xdr:row>2</xdr:row>
      <xdr:rowOff>142875</xdr:rowOff>
    </xdr:from>
    <xdr:to>
      <xdr:col>26</xdr:col>
      <xdr:colOff>333375</xdr:colOff>
      <xdr:row>24</xdr:row>
      <xdr:rowOff>161924</xdr:rowOff>
    </xdr:to>
    <xdr:graphicFrame macro="">
      <xdr:nvGraphicFramePr>
        <xdr:cNvPr id="7" name="Chart 1">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400050</xdr:colOff>
      <xdr:row>1</xdr:row>
      <xdr:rowOff>95250</xdr:rowOff>
    </xdr:from>
    <xdr:to>
      <xdr:col>25</xdr:col>
      <xdr:colOff>161925</xdr:colOff>
      <xdr:row>23</xdr:row>
      <xdr:rowOff>114299</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mrose/Documents/GMLC-AMP/Chefornak/Chefornak%20Master%20Data%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Data (Gen)"/>
      <sheetName val="Load Data (Elec)"/>
      <sheetName val="Loads (Growth)"/>
      <sheetName val="Fuel Use-Cost"/>
      <sheetName val="Energy Eff."/>
      <sheetName val="Genset Capital Costs"/>
      <sheetName val="Genset O&amp;M Costs"/>
      <sheetName val="Genset Fuel Curves"/>
      <sheetName val="WT Costs"/>
      <sheetName val="WT Perf."/>
      <sheetName val="Converter"/>
      <sheetName val="Heat Recovery (Th)"/>
      <sheetName val="Results"/>
      <sheetName val="Grid Extension"/>
    </sheetNames>
    <sheetDataSet>
      <sheetData sheetId="0"/>
      <sheetData sheetId="1"/>
      <sheetData sheetId="2"/>
      <sheetData sheetId="3"/>
      <sheetData sheetId="4"/>
      <sheetData sheetId="5">
        <row r="3">
          <cell r="P3" t="str">
            <v>IES ($)</v>
          </cell>
          <cell r="Q3" t="str">
            <v>Bill Stamm ($)</v>
          </cell>
        </row>
        <row r="4">
          <cell r="O4">
            <v>180</v>
          </cell>
          <cell r="P4">
            <v>74000</v>
          </cell>
        </row>
        <row r="5">
          <cell r="O5">
            <v>370</v>
          </cell>
          <cell r="P5">
            <v>152000</v>
          </cell>
        </row>
        <row r="6">
          <cell r="O6">
            <v>500</v>
          </cell>
          <cell r="Q6">
            <v>205000</v>
          </cell>
        </row>
        <row r="7">
          <cell r="O7">
            <v>750</v>
          </cell>
          <cell r="Q7">
            <v>290000</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O4" sqref="O4"/>
    </sheetView>
  </sheetViews>
  <sheetFormatPr defaultRowHeight="1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S346"/>
  <sheetViews>
    <sheetView workbookViewId="0">
      <selection activeCell="E3" sqref="E3:E16"/>
    </sheetView>
  </sheetViews>
  <sheetFormatPr defaultRowHeight="15"/>
  <cols>
    <col min="1" max="1" width="39.7109375" bestFit="1" customWidth="1"/>
    <col min="2" max="9" width="13.42578125" customWidth="1"/>
    <col min="10" max="10" width="13.85546875" customWidth="1"/>
    <col min="11" max="11" width="14.140625" customWidth="1"/>
    <col min="12" max="18" width="13.42578125" customWidth="1"/>
    <col min="19" max="19" width="15.42578125" customWidth="1"/>
  </cols>
  <sheetData>
    <row r="2" spans="1:19">
      <c r="A2" s="14" t="s">
        <v>296</v>
      </c>
    </row>
    <row r="3" spans="1:19">
      <c r="A3" s="10" t="s">
        <v>7</v>
      </c>
      <c r="B3" t="str">
        <f t="shared" ref="B3:S3" si="0">B43</f>
        <v>No Generator</v>
      </c>
      <c r="C3" t="str">
        <f t="shared" si="0"/>
        <v>SG 100</v>
      </c>
      <c r="D3" t="str">
        <f t="shared" si="0"/>
        <v>SG 100</v>
      </c>
      <c r="E3" t="str">
        <f t="shared" si="0"/>
        <v>No Generator</v>
      </c>
      <c r="F3" t="str">
        <f t="shared" si="0"/>
        <v>No Generator</v>
      </c>
      <c r="G3" t="str">
        <f t="shared" si="0"/>
        <v>SG 200</v>
      </c>
      <c r="H3" t="str">
        <f t="shared" si="0"/>
        <v>SG 200</v>
      </c>
      <c r="I3" t="str">
        <f t="shared" si="0"/>
        <v>SG 300</v>
      </c>
      <c r="J3" t="str">
        <f t="shared" si="0"/>
        <v>SG 300</v>
      </c>
      <c r="K3" t="str">
        <f t="shared" si="0"/>
        <v>SG 500</v>
      </c>
      <c r="L3" t="str">
        <f t="shared" si="0"/>
        <v>SG 500</v>
      </c>
      <c r="M3" t="str">
        <f t="shared" si="0"/>
        <v>SG 500</v>
      </c>
      <c r="N3" t="str">
        <f t="shared" si="0"/>
        <v>SG 500</v>
      </c>
      <c r="O3" t="str">
        <f t="shared" si="0"/>
        <v>SG 500</v>
      </c>
      <c r="P3" t="str">
        <f t="shared" si="0"/>
        <v>SG 200</v>
      </c>
      <c r="Q3" t="str">
        <f t="shared" si="0"/>
        <v>SG 300</v>
      </c>
      <c r="R3" t="str">
        <f t="shared" si="0"/>
        <v>SG 300</v>
      </c>
      <c r="S3" t="str">
        <f t="shared" si="0"/>
        <v>SG 500</v>
      </c>
    </row>
    <row r="4" spans="1:19">
      <c r="A4" s="10" t="s">
        <v>9</v>
      </c>
      <c r="B4" t="str">
        <f t="shared" ref="B4:S4" si="1">B44</f>
        <v>No Generator</v>
      </c>
      <c r="C4" t="str">
        <f t="shared" si="1"/>
        <v>No Generator</v>
      </c>
      <c r="D4" t="str">
        <f t="shared" si="1"/>
        <v>No Generator</v>
      </c>
      <c r="E4" t="str">
        <f t="shared" si="1"/>
        <v>No Generator</v>
      </c>
      <c r="F4" t="str">
        <f t="shared" si="1"/>
        <v>No Generator</v>
      </c>
      <c r="G4" t="str">
        <f t="shared" si="1"/>
        <v>No Generator</v>
      </c>
      <c r="H4" t="str">
        <f t="shared" si="1"/>
        <v>No Generator</v>
      </c>
      <c r="I4" t="str">
        <f t="shared" si="1"/>
        <v>No Generator</v>
      </c>
      <c r="J4" t="str">
        <f t="shared" si="1"/>
        <v>No Generator</v>
      </c>
      <c r="K4" t="str">
        <f t="shared" si="1"/>
        <v>No Generator</v>
      </c>
      <c r="L4" t="str">
        <f t="shared" si="1"/>
        <v>No Generator</v>
      </c>
      <c r="M4" t="str">
        <f t="shared" si="1"/>
        <v>No Generator</v>
      </c>
      <c r="N4" t="str">
        <f t="shared" si="1"/>
        <v>No Generator</v>
      </c>
      <c r="O4" t="str">
        <f t="shared" si="1"/>
        <v>No Generator</v>
      </c>
      <c r="P4" t="str">
        <f t="shared" si="1"/>
        <v>No Generator</v>
      </c>
      <c r="Q4" t="str">
        <f t="shared" si="1"/>
        <v>No Generator</v>
      </c>
      <c r="R4" t="str">
        <f t="shared" si="1"/>
        <v>No Generator</v>
      </c>
      <c r="S4" t="str">
        <f t="shared" si="1"/>
        <v>No Generator</v>
      </c>
    </row>
    <row r="5" spans="1:19">
      <c r="A5" s="10" t="s">
        <v>10</v>
      </c>
      <c r="B5" t="str">
        <f t="shared" ref="B5:S5" si="2">B45</f>
        <v>No Generator</v>
      </c>
      <c r="C5" t="str">
        <f t="shared" si="2"/>
        <v>No Generator</v>
      </c>
      <c r="D5" t="str">
        <f t="shared" si="2"/>
        <v>No Generator</v>
      </c>
      <c r="E5" t="str">
        <f t="shared" si="2"/>
        <v>WG 100</v>
      </c>
      <c r="F5" t="str">
        <f t="shared" si="2"/>
        <v>WG 100</v>
      </c>
      <c r="G5" t="str">
        <f t="shared" si="2"/>
        <v>No Generator</v>
      </c>
      <c r="H5" t="str">
        <f t="shared" si="2"/>
        <v>No Generator</v>
      </c>
      <c r="I5" t="str">
        <f t="shared" si="2"/>
        <v>No Generator</v>
      </c>
      <c r="J5" t="str">
        <f t="shared" si="2"/>
        <v>WG 100</v>
      </c>
      <c r="K5" t="str">
        <f t="shared" si="2"/>
        <v>No Generator</v>
      </c>
      <c r="L5" t="str">
        <f t="shared" si="2"/>
        <v>No Generator</v>
      </c>
      <c r="M5" t="str">
        <f t="shared" si="2"/>
        <v>No Generator</v>
      </c>
      <c r="N5" t="str">
        <f t="shared" si="2"/>
        <v>WG 100</v>
      </c>
      <c r="O5" t="str">
        <f t="shared" si="2"/>
        <v>WG 200</v>
      </c>
      <c r="P5" t="str">
        <f t="shared" si="2"/>
        <v>WG 500</v>
      </c>
      <c r="Q5" t="str">
        <f t="shared" si="2"/>
        <v>WG 500</v>
      </c>
      <c r="R5" t="str">
        <f t="shared" si="2"/>
        <v>WG 500</v>
      </c>
      <c r="S5" t="str">
        <f t="shared" si="2"/>
        <v>WG 500</v>
      </c>
    </row>
    <row r="6" spans="1:19">
      <c r="A6" s="10" t="s">
        <v>11</v>
      </c>
      <c r="B6" t="str">
        <f t="shared" ref="B6:S6" si="3">B46</f>
        <v>No Battery</v>
      </c>
      <c r="C6" t="str">
        <f t="shared" si="3"/>
        <v>No Battery</v>
      </c>
      <c r="D6" t="str">
        <f t="shared" si="3"/>
        <v>Bat 50/50</v>
      </c>
      <c r="E6" t="str">
        <f t="shared" si="3"/>
        <v>No Battery</v>
      </c>
      <c r="F6" t="str">
        <f t="shared" si="3"/>
        <v>Bat 50/50</v>
      </c>
      <c r="G6" t="str">
        <f t="shared" si="3"/>
        <v>No Battery</v>
      </c>
      <c r="H6" t="str">
        <f t="shared" si="3"/>
        <v>Bat 50/50</v>
      </c>
      <c r="I6" t="str">
        <f t="shared" si="3"/>
        <v>No Battery</v>
      </c>
      <c r="J6" t="str">
        <f t="shared" si="3"/>
        <v>No Battery</v>
      </c>
      <c r="K6" t="str">
        <f t="shared" si="3"/>
        <v>No Battery</v>
      </c>
      <c r="L6" t="str">
        <f t="shared" si="3"/>
        <v>Bat 50/50</v>
      </c>
      <c r="M6" t="str">
        <f t="shared" si="3"/>
        <v>Bat 100/100</v>
      </c>
      <c r="N6" t="str">
        <f t="shared" si="3"/>
        <v>No Battery</v>
      </c>
      <c r="O6" t="str">
        <f t="shared" si="3"/>
        <v>No Battery</v>
      </c>
      <c r="P6" t="str">
        <f t="shared" si="3"/>
        <v>No Battery</v>
      </c>
      <c r="Q6" t="str">
        <f t="shared" si="3"/>
        <v>No Battery</v>
      </c>
      <c r="R6" t="str">
        <f t="shared" si="3"/>
        <v>Bat 50/50</v>
      </c>
      <c r="S6" t="str">
        <f t="shared" si="3"/>
        <v>No Battery</v>
      </c>
    </row>
    <row r="7" spans="1:19">
      <c r="A7" s="10" t="s">
        <v>291</v>
      </c>
      <c r="B7" t="str">
        <f t="shared" ref="B7:S7" si="4">IF(B53&lt;0.3,$B$346,$B$345)</f>
        <v>No Generator</v>
      </c>
      <c r="C7" t="str">
        <f t="shared" si="4"/>
        <v>No Generator</v>
      </c>
      <c r="D7" t="str">
        <f t="shared" si="4"/>
        <v>No Generator</v>
      </c>
      <c r="E7" t="str">
        <f t="shared" si="4"/>
        <v>No Generator</v>
      </c>
      <c r="F7" t="str">
        <f t="shared" si="4"/>
        <v>No Generator</v>
      </c>
      <c r="G7" t="str">
        <f t="shared" si="4"/>
        <v>No Generator</v>
      </c>
      <c r="H7" t="str">
        <f t="shared" si="4"/>
        <v>No Generator</v>
      </c>
      <c r="I7" t="str">
        <f t="shared" si="4"/>
        <v>No Generator</v>
      </c>
      <c r="J7" t="str">
        <f t="shared" si="4"/>
        <v>No Generator</v>
      </c>
      <c r="K7" t="str">
        <f t="shared" si="4"/>
        <v>No Generator</v>
      </c>
      <c r="L7" t="str">
        <f t="shared" si="4"/>
        <v>No Generator</v>
      </c>
      <c r="M7" t="str">
        <f t="shared" si="4"/>
        <v>No Generator</v>
      </c>
      <c r="N7" t="str">
        <f t="shared" si="4"/>
        <v>No Generator</v>
      </c>
      <c r="O7" t="str">
        <f t="shared" si="4"/>
        <v>100kW  Diesel</v>
      </c>
      <c r="P7" t="str">
        <f t="shared" si="4"/>
        <v>100kW  Diesel</v>
      </c>
      <c r="Q7" t="str">
        <f t="shared" si="4"/>
        <v>100kW  Diesel</v>
      </c>
      <c r="R7" t="str">
        <f t="shared" si="4"/>
        <v>100kW  Diesel</v>
      </c>
      <c r="S7" t="str">
        <f t="shared" si="4"/>
        <v>100kW  Diesel</v>
      </c>
    </row>
    <row r="8" spans="1:19">
      <c r="A8" s="10" t="s">
        <v>288</v>
      </c>
      <c r="B8" s="48">
        <f t="shared" ref="B8:S8" si="5">$C$220</f>
        <v>-1414119.9899158319</v>
      </c>
      <c r="C8" s="48">
        <f t="shared" si="5"/>
        <v>-1414119.9899158319</v>
      </c>
      <c r="D8" s="48">
        <f t="shared" si="5"/>
        <v>-1414119.9899158319</v>
      </c>
      <c r="E8" s="48">
        <f t="shared" si="5"/>
        <v>-1414119.9899158319</v>
      </c>
      <c r="F8" s="48">
        <f t="shared" si="5"/>
        <v>-1414119.9899158319</v>
      </c>
      <c r="G8" s="48">
        <f t="shared" si="5"/>
        <v>-1414119.9899158319</v>
      </c>
      <c r="H8" s="48">
        <f t="shared" si="5"/>
        <v>-1414119.9899158319</v>
      </c>
      <c r="I8" s="48">
        <f t="shared" si="5"/>
        <v>-1414119.9899158319</v>
      </c>
      <c r="J8" s="48">
        <f t="shared" si="5"/>
        <v>-1414119.9899158319</v>
      </c>
      <c r="K8" s="48">
        <f t="shared" si="5"/>
        <v>-1414119.9899158319</v>
      </c>
      <c r="L8" s="48">
        <f t="shared" si="5"/>
        <v>-1414119.9899158319</v>
      </c>
      <c r="M8" s="48">
        <f t="shared" si="5"/>
        <v>-1414119.9899158319</v>
      </c>
      <c r="N8" s="48">
        <f t="shared" si="5"/>
        <v>-1414119.9899158319</v>
      </c>
      <c r="O8" s="48">
        <f t="shared" si="5"/>
        <v>-1414119.9899158319</v>
      </c>
      <c r="P8" s="48">
        <f t="shared" si="5"/>
        <v>-1414119.9899158319</v>
      </c>
      <c r="Q8" s="48">
        <f t="shared" si="5"/>
        <v>-1414119.9899158319</v>
      </c>
      <c r="R8" s="48">
        <f t="shared" si="5"/>
        <v>-1414119.9899158319</v>
      </c>
      <c r="S8" s="48">
        <f t="shared" si="5"/>
        <v>-1414119.9899158319</v>
      </c>
    </row>
    <row r="9" spans="1:19">
      <c r="A9" s="10" t="s">
        <v>287</v>
      </c>
      <c r="B9" s="48">
        <f t="shared" ref="B9:O9" si="6">B223</f>
        <v>0</v>
      </c>
      <c r="C9" s="48">
        <f t="shared" si="6"/>
        <v>-550000</v>
      </c>
      <c r="D9" s="48">
        <f t="shared" si="6"/>
        <v>-635000</v>
      </c>
      <c r="E9" s="48">
        <f t="shared" si="6"/>
        <v>-950000</v>
      </c>
      <c r="F9" s="48">
        <f t="shared" si="6"/>
        <v>-1035000</v>
      </c>
      <c r="G9" s="48">
        <f t="shared" si="6"/>
        <v>-1050000</v>
      </c>
      <c r="H9" s="48">
        <f t="shared" si="6"/>
        <v>-1135000</v>
      </c>
      <c r="I9" s="48">
        <f t="shared" si="6"/>
        <v>-1550000</v>
      </c>
      <c r="J9" s="48">
        <f t="shared" si="6"/>
        <v>-2500000</v>
      </c>
      <c r="K9" s="48">
        <f t="shared" si="6"/>
        <v>-2550000</v>
      </c>
      <c r="L9" s="48">
        <f t="shared" si="6"/>
        <v>-2635000</v>
      </c>
      <c r="M9" s="48">
        <f t="shared" si="6"/>
        <v>-2670000</v>
      </c>
      <c r="N9" s="48">
        <f t="shared" si="6"/>
        <v>-3500000</v>
      </c>
      <c r="O9" s="48">
        <f t="shared" si="6"/>
        <v>-4200000</v>
      </c>
      <c r="P9" s="48">
        <f>P223</f>
        <v>-4800000</v>
      </c>
      <c r="Q9" s="48">
        <f>Q223</f>
        <v>-5300000</v>
      </c>
      <c r="R9" s="48">
        <f>R223</f>
        <v>-5385000</v>
      </c>
      <c r="S9" s="48">
        <f>S223</f>
        <v>-6300000</v>
      </c>
    </row>
    <row r="10" spans="1:19">
      <c r="A10" s="10" t="s">
        <v>292</v>
      </c>
      <c r="B10" s="48">
        <f t="shared" ref="B10:O10" si="7">B225</f>
        <v>0</v>
      </c>
      <c r="C10" s="48">
        <f t="shared" si="7"/>
        <v>0</v>
      </c>
      <c r="D10" s="48">
        <f t="shared" si="7"/>
        <v>0</v>
      </c>
      <c r="E10" s="48">
        <f t="shared" si="7"/>
        <v>0</v>
      </c>
      <c r="F10" s="48">
        <f t="shared" si="7"/>
        <v>0</v>
      </c>
      <c r="G10" s="48">
        <f t="shared" si="7"/>
        <v>0</v>
      </c>
      <c r="H10" s="48">
        <f t="shared" si="7"/>
        <v>0</v>
      </c>
      <c r="I10" s="48">
        <f t="shared" si="7"/>
        <v>0</v>
      </c>
      <c r="J10" s="48">
        <f t="shared" si="7"/>
        <v>0</v>
      </c>
      <c r="K10" s="48">
        <f t="shared" si="7"/>
        <v>0</v>
      </c>
      <c r="L10" s="48">
        <f t="shared" si="7"/>
        <v>0</v>
      </c>
      <c r="M10" s="48">
        <f t="shared" si="7"/>
        <v>0</v>
      </c>
      <c r="N10" s="48">
        <f t="shared" si="7"/>
        <v>0</v>
      </c>
      <c r="O10" s="48">
        <f t="shared" si="7"/>
        <v>0</v>
      </c>
      <c r="P10" s="48">
        <f>P225</f>
        <v>0</v>
      </c>
      <c r="Q10" s="48">
        <f>Q225</f>
        <v>0</v>
      </c>
      <c r="R10" s="48">
        <f>R225</f>
        <v>0</v>
      </c>
      <c r="S10" s="48">
        <f>S225</f>
        <v>0</v>
      </c>
    </row>
    <row r="11" spans="1:19">
      <c r="A11" s="10" t="s">
        <v>294</v>
      </c>
      <c r="B11" s="48">
        <f t="shared" ref="B11:O11" si="8">B234</f>
        <v>0</v>
      </c>
      <c r="C11" s="48">
        <f t="shared" si="8"/>
        <v>0</v>
      </c>
      <c r="D11" s="48">
        <f t="shared" si="8"/>
        <v>0</v>
      </c>
      <c r="E11" s="48">
        <f t="shared" si="8"/>
        <v>0</v>
      </c>
      <c r="F11" s="48">
        <f t="shared" si="8"/>
        <v>0</v>
      </c>
      <c r="G11" s="48">
        <f t="shared" si="8"/>
        <v>0</v>
      </c>
      <c r="H11" s="48">
        <f t="shared" si="8"/>
        <v>0</v>
      </c>
      <c r="I11" s="48">
        <f t="shared" si="8"/>
        <v>0</v>
      </c>
      <c r="J11" s="48">
        <f t="shared" si="8"/>
        <v>0</v>
      </c>
      <c r="K11" s="48">
        <f t="shared" si="8"/>
        <v>0</v>
      </c>
      <c r="L11" s="48">
        <f t="shared" si="8"/>
        <v>0</v>
      </c>
      <c r="M11" s="48">
        <f t="shared" si="8"/>
        <v>0</v>
      </c>
      <c r="N11" s="48">
        <f t="shared" si="8"/>
        <v>0</v>
      </c>
      <c r="O11" s="48">
        <f t="shared" si="8"/>
        <v>-41158.26</v>
      </c>
      <c r="P11" s="48">
        <f>P234</f>
        <v>-41158.26</v>
      </c>
      <c r="Q11" s="48">
        <f>Q234</f>
        <v>-41158.26</v>
      </c>
      <c r="R11" s="48">
        <f>R234</f>
        <v>-41158.26</v>
      </c>
      <c r="S11" s="48">
        <f>S234</f>
        <v>-41158.26</v>
      </c>
    </row>
    <row r="12" spans="1:19">
      <c r="A12" s="10" t="s">
        <v>230</v>
      </c>
      <c r="B12" s="9">
        <f t="shared" ref="B12:O12" si="9">B331</f>
        <v>0.1889846889972604</v>
      </c>
      <c r="C12" s="9">
        <f t="shared" si="9"/>
        <v>0.2168890223026636</v>
      </c>
      <c r="D12" s="9">
        <f t="shared" si="9"/>
        <v>0.21688889103972542</v>
      </c>
      <c r="E12" s="9">
        <f t="shared" si="9"/>
        <v>0.27888358838708849</v>
      </c>
      <c r="F12" s="9">
        <f t="shared" si="9"/>
        <v>0.27808781278343797</v>
      </c>
      <c r="G12" s="9">
        <f t="shared" si="9"/>
        <v>0.24716550838865792</v>
      </c>
      <c r="H12" s="9">
        <f t="shared" si="9"/>
        <v>0.24716569439010228</v>
      </c>
      <c r="I12" s="9">
        <f t="shared" si="9"/>
        <v>0.27090138420126864</v>
      </c>
      <c r="J12" s="9">
        <f t="shared" si="9"/>
        <v>0.35572100181361921</v>
      </c>
      <c r="K12" s="9">
        <f t="shared" si="9"/>
        <v>0.30009730610926844</v>
      </c>
      <c r="L12" s="9">
        <f t="shared" si="9"/>
        <v>0.30009784632358749</v>
      </c>
      <c r="M12" s="9">
        <f t="shared" si="9"/>
        <v>0.3000977233261638</v>
      </c>
      <c r="N12" s="9">
        <f t="shared" si="9"/>
        <v>0.37802220498376893</v>
      </c>
      <c r="O12" s="9">
        <f t="shared" si="9"/>
        <v>0.44421668171157802</v>
      </c>
      <c r="P12" s="9">
        <f>P331</f>
        <v>0.57825388711583581</v>
      </c>
      <c r="Q12" s="9">
        <f>Q331</f>
        <v>0.59561133452910897</v>
      </c>
      <c r="R12" s="9">
        <f>R331</f>
        <v>0.58593008222680143</v>
      </c>
      <c r="S12" s="9">
        <f>S331</f>
        <v>0.60189551455139223</v>
      </c>
    </row>
    <row r="13" spans="1:19">
      <c r="A13" s="10" t="s">
        <v>237</v>
      </c>
      <c r="B13" s="11">
        <f t="shared" ref="B13:O13" si="10">B334</f>
        <v>1077750.0826017158</v>
      </c>
      <c r="C13" s="11">
        <f t="shared" si="10"/>
        <v>941285.19404199626</v>
      </c>
      <c r="D13" s="11">
        <f t="shared" si="10"/>
        <v>780610.77017152775</v>
      </c>
      <c r="E13" s="11">
        <f t="shared" si="10"/>
        <v>2272355.0259361574</v>
      </c>
      <c r="F13" s="11">
        <f t="shared" si="10"/>
        <v>2136489.6391906859</v>
      </c>
      <c r="G13" s="11">
        <f t="shared" si="10"/>
        <v>629228.44357135613</v>
      </c>
      <c r="H13" s="11">
        <f t="shared" si="10"/>
        <v>602022.07723743189</v>
      </c>
      <c r="I13" s="11">
        <f t="shared" si="10"/>
        <v>358806.05025618616</v>
      </c>
      <c r="J13" s="11">
        <f t="shared" si="10"/>
        <v>1307461.4700315511</v>
      </c>
      <c r="K13" s="11">
        <f t="shared" si="10"/>
        <v>-731394.04138491582</v>
      </c>
      <c r="L13" s="11">
        <f t="shared" si="10"/>
        <v>-856191.2794650672</v>
      </c>
      <c r="M13" s="11">
        <f t="shared" si="10"/>
        <v>-896365.05750069674</v>
      </c>
      <c r="N13" s="11">
        <f t="shared" si="10"/>
        <v>119329.49902311061</v>
      </c>
      <c r="O13" s="11">
        <f t="shared" si="10"/>
        <v>906509.24935666006</v>
      </c>
      <c r="P13" s="11">
        <f t="shared" ref="P13:S16" si="11">P334</f>
        <v>4429355.0641797027</v>
      </c>
      <c r="Q13" s="11">
        <f t="shared" si="11"/>
        <v>3928397.4816518119</v>
      </c>
      <c r="R13" s="11">
        <f t="shared" si="11"/>
        <v>3596169.0946004158</v>
      </c>
      <c r="S13" s="11">
        <f t="shared" si="11"/>
        <v>2313122.3315650942</v>
      </c>
    </row>
    <row r="14" spans="1:19">
      <c r="A14" s="10" t="s">
        <v>238</v>
      </c>
      <c r="B14" s="11">
        <f t="shared" ref="B14:O14" si="12">B335</f>
        <v>1331860.0482482482</v>
      </c>
      <c r="C14" s="11">
        <f t="shared" si="12"/>
        <v>1282541.0079823919</v>
      </c>
      <c r="D14" s="11">
        <f t="shared" si="12"/>
        <v>1282538.0988938892</v>
      </c>
      <c r="E14" s="11">
        <f t="shared" si="12"/>
        <v>1154060.8764607515</v>
      </c>
      <c r="F14" s="11">
        <f t="shared" si="12"/>
        <v>1157291.6351810023</v>
      </c>
      <c r="G14" s="11">
        <f t="shared" si="12"/>
        <v>1212759.9123055227</v>
      </c>
      <c r="H14" s="11">
        <f t="shared" si="12"/>
        <v>1212764.0345251774</v>
      </c>
      <c r="I14" s="11">
        <f t="shared" si="12"/>
        <v>1154526.1729142284</v>
      </c>
      <c r="J14" s="11">
        <f t="shared" si="12"/>
        <v>968493.317436276</v>
      </c>
      <c r="K14" s="11">
        <f t="shared" si="12"/>
        <v>1081664.2663800577</v>
      </c>
      <c r="L14" s="11">
        <f t="shared" si="12"/>
        <v>1081676.2387714013</v>
      </c>
      <c r="M14" s="11">
        <f t="shared" si="12"/>
        <v>1081673.5128657017</v>
      </c>
      <c r="N14" s="11">
        <f t="shared" si="12"/>
        <v>909764.39731869847</v>
      </c>
      <c r="O14" s="11">
        <f t="shared" si="12"/>
        <v>728295.11195403244</v>
      </c>
      <c r="P14" s="11">
        <f t="shared" si="11"/>
        <v>370585.13042559754</v>
      </c>
      <c r="Q14" s="11">
        <f t="shared" si="11"/>
        <v>327493.07052830327</v>
      </c>
      <c r="R14" s="11">
        <f t="shared" si="11"/>
        <v>352904.48146409448</v>
      </c>
      <c r="S14" s="11">
        <f t="shared" si="11"/>
        <v>310262.63030813448</v>
      </c>
    </row>
    <row r="15" spans="1:19">
      <c r="A15" s="10" t="s">
        <v>239</v>
      </c>
      <c r="B15" s="11">
        <f t="shared" ref="B15:O15" si="13">B336</f>
        <v>2409610.130849964</v>
      </c>
      <c r="C15" s="11">
        <f t="shared" si="13"/>
        <v>2223826.2020243881</v>
      </c>
      <c r="D15" s="11">
        <f t="shared" si="13"/>
        <v>2063148.869065417</v>
      </c>
      <c r="E15" s="11">
        <f t="shared" si="13"/>
        <v>3426415.902396909</v>
      </c>
      <c r="F15" s="11">
        <f t="shared" si="13"/>
        <v>3293781.2743716883</v>
      </c>
      <c r="G15" s="11">
        <f t="shared" si="13"/>
        <v>1841988.3558768788</v>
      </c>
      <c r="H15" s="11">
        <f t="shared" si="13"/>
        <v>1814786.1117626093</v>
      </c>
      <c r="I15" s="11">
        <f t="shared" si="13"/>
        <v>1513332.2231704146</v>
      </c>
      <c r="J15" s="11">
        <f t="shared" si="13"/>
        <v>2275954.7874678271</v>
      </c>
      <c r="K15" s="11">
        <f t="shared" si="13"/>
        <v>350270.22499514185</v>
      </c>
      <c r="L15" s="11">
        <f t="shared" si="13"/>
        <v>225484.95930633415</v>
      </c>
      <c r="M15" s="11">
        <f t="shared" si="13"/>
        <v>185308.45536500495</v>
      </c>
      <c r="N15" s="11">
        <f t="shared" si="13"/>
        <v>1029093.8963418091</v>
      </c>
      <c r="O15" s="11">
        <f t="shared" si="13"/>
        <v>1634804.3613106925</v>
      </c>
      <c r="P15" s="11">
        <f t="shared" si="11"/>
        <v>4799940.1946053002</v>
      </c>
      <c r="Q15" s="11">
        <f t="shared" si="11"/>
        <v>4255890.5521801151</v>
      </c>
      <c r="R15" s="11">
        <f t="shared" si="11"/>
        <v>3949073.5760645103</v>
      </c>
      <c r="S15" s="11">
        <f t="shared" si="11"/>
        <v>2623384.9618732287</v>
      </c>
    </row>
    <row r="16" spans="1:19">
      <c r="A16" s="10" t="s">
        <v>159</v>
      </c>
      <c r="B16" s="9">
        <f t="shared" ref="B16:O16" si="14">B337</f>
        <v>2.7039644075700981</v>
      </c>
      <c r="C16" s="9">
        <f t="shared" si="14"/>
        <v>2.1322252272987074</v>
      </c>
      <c r="D16" s="9">
        <f t="shared" si="14"/>
        <v>2.0068462946136019</v>
      </c>
      <c r="E16" s="9">
        <f t="shared" si="14"/>
        <v>2.4493409458962772</v>
      </c>
      <c r="F16" s="9">
        <f t="shared" si="14"/>
        <v>2.34488358591401</v>
      </c>
      <c r="G16" s="9">
        <f t="shared" si="14"/>
        <v>1.7475238070447197</v>
      </c>
      <c r="H16" s="9">
        <f t="shared" si="14"/>
        <v>1.7119265154020979</v>
      </c>
      <c r="I16" s="9">
        <f t="shared" si="14"/>
        <v>1.5105502571821954</v>
      </c>
      <c r="J16" s="9">
        <f t="shared" si="14"/>
        <v>1.581472921967517</v>
      </c>
      <c r="K16" s="9">
        <f t="shared" si="14"/>
        <v>1.0883601469900459</v>
      </c>
      <c r="L16" s="9">
        <f t="shared" si="14"/>
        <v>1.0556873987108051</v>
      </c>
      <c r="M16" s="9">
        <f t="shared" si="14"/>
        <v>1.0453729214182133</v>
      </c>
      <c r="N16" s="9">
        <f t="shared" si="14"/>
        <v>1.2094157038195226</v>
      </c>
      <c r="O16" s="9">
        <f t="shared" si="14"/>
        <v>1.2911951230552878</v>
      </c>
      <c r="P16" s="9">
        <f t="shared" si="11"/>
        <v>1.7724247684941006</v>
      </c>
      <c r="Q16" s="9">
        <f t="shared" si="11"/>
        <v>1.6338716851310648</v>
      </c>
      <c r="R16" s="9">
        <f t="shared" si="11"/>
        <v>1.5808212800953076</v>
      </c>
      <c r="S16" s="9">
        <f t="shared" si="11"/>
        <v>1.3400757267585428</v>
      </c>
    </row>
    <row r="18" spans="1:19">
      <c r="A18" s="52" t="s">
        <v>310</v>
      </c>
      <c r="B18" s="53">
        <f t="shared" ref="B18:N18" si="15">-SUM(B8:B11)</f>
        <v>1414119.9899158319</v>
      </c>
      <c r="C18" s="53">
        <f t="shared" si="15"/>
        <v>1964119.9899158319</v>
      </c>
      <c r="D18" s="53">
        <f t="shared" si="15"/>
        <v>2049119.9899158319</v>
      </c>
      <c r="E18" s="53">
        <f t="shared" si="15"/>
        <v>2364119.9899158319</v>
      </c>
      <c r="F18" s="53">
        <f t="shared" si="15"/>
        <v>2449119.9899158319</v>
      </c>
      <c r="G18" s="53">
        <f t="shared" si="15"/>
        <v>2464119.9899158319</v>
      </c>
      <c r="H18" s="53">
        <f t="shared" si="15"/>
        <v>2549119.9899158319</v>
      </c>
      <c r="I18" s="53">
        <f t="shared" si="15"/>
        <v>2964119.9899158319</v>
      </c>
      <c r="J18" s="53">
        <f t="shared" si="15"/>
        <v>3914119.9899158319</v>
      </c>
      <c r="K18" s="53">
        <f t="shared" si="15"/>
        <v>3964119.9899158319</v>
      </c>
      <c r="L18" s="53">
        <f t="shared" si="15"/>
        <v>4049119.9899158319</v>
      </c>
      <c r="M18" s="53">
        <f t="shared" si="15"/>
        <v>4084119.9899158319</v>
      </c>
      <c r="N18" s="53">
        <f t="shared" si="15"/>
        <v>4914119.9899158319</v>
      </c>
      <c r="O18" s="53">
        <f>-SUM(O8:O11)</f>
        <v>5655278.2499158317</v>
      </c>
      <c r="P18" s="53">
        <f>-SUM(P8:P11)</f>
        <v>6255278.2499158317</v>
      </c>
      <c r="Q18" s="53">
        <f>-SUM(Q8:Q11)</f>
        <v>6755278.2499158317</v>
      </c>
      <c r="R18" s="53">
        <f>-SUM(R8:R11)</f>
        <v>6840278.2499158317</v>
      </c>
      <c r="S18" s="53">
        <f>-SUM(S8:S11)</f>
        <v>7755278.2499158317</v>
      </c>
    </row>
    <row r="20" spans="1:19">
      <c r="A20" s="14" t="s">
        <v>295</v>
      </c>
    </row>
    <row r="21" spans="1:19">
      <c r="A21" t="s">
        <v>207</v>
      </c>
      <c r="B21" s="14">
        <v>1</v>
      </c>
      <c r="C21" s="14">
        <v>2</v>
      </c>
      <c r="D21" s="14">
        <v>4</v>
      </c>
      <c r="E21" s="14">
        <v>5</v>
      </c>
      <c r="F21" s="14">
        <v>7</v>
      </c>
      <c r="G21" s="14">
        <v>8</v>
      </c>
      <c r="H21" s="14">
        <v>10</v>
      </c>
      <c r="I21" s="14">
        <v>11</v>
      </c>
      <c r="J21" s="14">
        <v>13</v>
      </c>
      <c r="K21" s="14">
        <v>14</v>
      </c>
      <c r="L21" s="14">
        <v>16</v>
      </c>
      <c r="M21" s="14">
        <v>17</v>
      </c>
      <c r="N21" s="14">
        <v>18</v>
      </c>
      <c r="O21" s="14">
        <v>19</v>
      </c>
      <c r="P21" s="14">
        <v>21</v>
      </c>
      <c r="Q21" s="14">
        <v>23</v>
      </c>
      <c r="R21" s="14">
        <v>24</v>
      </c>
      <c r="S21" s="14">
        <v>25</v>
      </c>
    </row>
    <row r="22" spans="1:19">
      <c r="A22" t="s">
        <v>63</v>
      </c>
      <c r="B22" t="s">
        <v>212</v>
      </c>
      <c r="C22" t="s">
        <v>212</v>
      </c>
      <c r="D22" t="s">
        <v>212</v>
      </c>
      <c r="E22" t="s">
        <v>212</v>
      </c>
      <c r="F22" t="s">
        <v>212</v>
      </c>
      <c r="G22" t="s">
        <v>212</v>
      </c>
      <c r="H22" t="s">
        <v>212</v>
      </c>
      <c r="I22" t="s">
        <v>212</v>
      </c>
      <c r="J22" t="s">
        <v>212</v>
      </c>
      <c r="K22" t="s">
        <v>212</v>
      </c>
      <c r="L22" t="s">
        <v>212</v>
      </c>
      <c r="M22" t="s">
        <v>212</v>
      </c>
      <c r="N22" t="s">
        <v>212</v>
      </c>
      <c r="O22" t="s">
        <v>212</v>
      </c>
      <c r="P22" t="s">
        <v>212</v>
      </c>
      <c r="Q22" t="s">
        <v>212</v>
      </c>
      <c r="R22" t="s">
        <v>212</v>
      </c>
      <c r="S22" t="s">
        <v>212</v>
      </c>
    </row>
    <row r="23" spans="1:19">
      <c r="A23" t="s">
        <v>104</v>
      </c>
    </row>
    <row r="24" spans="1:19">
      <c r="A24" t="s">
        <v>105</v>
      </c>
    </row>
    <row r="25" spans="1:19">
      <c r="A25" t="s">
        <v>106</v>
      </c>
      <c r="B25" t="s">
        <v>107</v>
      </c>
      <c r="C25" t="s">
        <v>107</v>
      </c>
      <c r="D25" t="s">
        <v>107</v>
      </c>
      <c r="E25" t="s">
        <v>107</v>
      </c>
      <c r="F25" t="s">
        <v>107</v>
      </c>
      <c r="G25" t="s">
        <v>107</v>
      </c>
      <c r="H25" t="s">
        <v>107</v>
      </c>
      <c r="I25" t="s">
        <v>107</v>
      </c>
      <c r="J25" t="s">
        <v>107</v>
      </c>
      <c r="K25" t="s">
        <v>107</v>
      </c>
      <c r="L25" t="s">
        <v>107</v>
      </c>
      <c r="M25" t="s">
        <v>107</v>
      </c>
      <c r="N25" t="s">
        <v>107</v>
      </c>
    </row>
    <row r="26" spans="1:19">
      <c r="A26" t="s">
        <v>108</v>
      </c>
    </row>
    <row r="27" spans="1:19">
      <c r="A27" t="s">
        <v>51</v>
      </c>
      <c r="B27" t="s">
        <v>212</v>
      </c>
      <c r="C27" t="s">
        <v>212</v>
      </c>
      <c r="D27" t="s">
        <v>212</v>
      </c>
      <c r="E27" t="s">
        <v>212</v>
      </c>
      <c r="F27" t="s">
        <v>212</v>
      </c>
      <c r="G27" t="s">
        <v>212</v>
      </c>
      <c r="H27" t="s">
        <v>212</v>
      </c>
      <c r="I27" t="s">
        <v>212</v>
      </c>
      <c r="J27" t="s">
        <v>212</v>
      </c>
      <c r="K27" t="s">
        <v>212</v>
      </c>
      <c r="L27" t="s">
        <v>212</v>
      </c>
      <c r="M27" t="s">
        <v>212</v>
      </c>
      <c r="N27" t="s">
        <v>212</v>
      </c>
      <c r="O27" t="s">
        <v>212</v>
      </c>
      <c r="P27" t="s">
        <v>212</v>
      </c>
      <c r="Q27" t="s">
        <v>212</v>
      </c>
      <c r="R27" t="s">
        <v>212</v>
      </c>
      <c r="S27" t="s">
        <v>212</v>
      </c>
    </row>
    <row r="28" spans="1:19">
      <c r="A28" t="s">
        <v>55</v>
      </c>
      <c r="B28" t="s">
        <v>212</v>
      </c>
      <c r="C28" t="s">
        <v>212</v>
      </c>
      <c r="D28" t="s">
        <v>212</v>
      </c>
      <c r="E28" t="s">
        <v>212</v>
      </c>
      <c r="F28" t="s">
        <v>212</v>
      </c>
      <c r="G28" t="s">
        <v>212</v>
      </c>
      <c r="H28" t="s">
        <v>212</v>
      </c>
      <c r="I28" t="s">
        <v>212</v>
      </c>
      <c r="J28" t="s">
        <v>212</v>
      </c>
      <c r="K28" t="s">
        <v>212</v>
      </c>
      <c r="L28" t="s">
        <v>212</v>
      </c>
      <c r="M28" t="s">
        <v>212</v>
      </c>
      <c r="N28" t="s">
        <v>212</v>
      </c>
      <c r="O28" t="s">
        <v>212</v>
      </c>
      <c r="P28" t="s">
        <v>212</v>
      </c>
      <c r="Q28" t="s">
        <v>212</v>
      </c>
      <c r="R28" t="s">
        <v>212</v>
      </c>
      <c r="S28" t="s">
        <v>212</v>
      </c>
    </row>
    <row r="29" spans="1:19">
      <c r="A29" t="s">
        <v>53</v>
      </c>
      <c r="B29" t="s">
        <v>212</v>
      </c>
      <c r="C29" t="s">
        <v>212</v>
      </c>
      <c r="D29" t="s">
        <v>212</v>
      </c>
      <c r="E29" t="s">
        <v>212</v>
      </c>
      <c r="F29" t="s">
        <v>212</v>
      </c>
      <c r="G29" t="s">
        <v>212</v>
      </c>
      <c r="H29" t="s">
        <v>212</v>
      </c>
      <c r="I29" t="s">
        <v>212</v>
      </c>
      <c r="J29" t="s">
        <v>212</v>
      </c>
      <c r="K29" t="s">
        <v>212</v>
      </c>
      <c r="L29" t="s">
        <v>212</v>
      </c>
      <c r="M29" t="s">
        <v>212</v>
      </c>
      <c r="N29" t="s">
        <v>212</v>
      </c>
      <c r="O29" t="s">
        <v>212</v>
      </c>
      <c r="P29" t="s">
        <v>212</v>
      </c>
      <c r="Q29" t="s">
        <v>212</v>
      </c>
      <c r="R29" t="s">
        <v>212</v>
      </c>
      <c r="S29" t="s">
        <v>212</v>
      </c>
    </row>
    <row r="30" spans="1:19">
      <c r="A30" t="s">
        <v>65</v>
      </c>
      <c r="B30" t="s">
        <v>212</v>
      </c>
      <c r="C30" t="s">
        <v>212</v>
      </c>
      <c r="D30" t="s">
        <v>212</v>
      </c>
      <c r="E30" t="s">
        <v>212</v>
      </c>
      <c r="F30" t="s">
        <v>212</v>
      </c>
      <c r="G30" t="s">
        <v>212</v>
      </c>
      <c r="H30" t="s">
        <v>212</v>
      </c>
      <c r="I30" t="s">
        <v>212</v>
      </c>
      <c r="J30" t="s">
        <v>212</v>
      </c>
      <c r="K30" t="s">
        <v>212</v>
      </c>
      <c r="L30" t="s">
        <v>212</v>
      </c>
      <c r="M30" t="s">
        <v>212</v>
      </c>
      <c r="N30" t="s">
        <v>212</v>
      </c>
      <c r="O30" t="s">
        <v>212</v>
      </c>
      <c r="P30" t="s">
        <v>212</v>
      </c>
      <c r="Q30" t="s">
        <v>212</v>
      </c>
      <c r="R30" t="s">
        <v>212</v>
      </c>
      <c r="S30" t="s">
        <v>212</v>
      </c>
    </row>
    <row r="31" spans="1:19">
      <c r="A31" t="s">
        <v>66</v>
      </c>
    </row>
    <row r="32" spans="1:19">
      <c r="A32" t="s">
        <v>30</v>
      </c>
    </row>
    <row r="33" spans="1:19">
      <c r="A33" t="s">
        <v>67</v>
      </c>
      <c r="B33" s="9">
        <v>0.27055890999999999</v>
      </c>
      <c r="C33" s="9">
        <v>0.2616657</v>
      </c>
      <c r="D33" s="9">
        <v>0.26166518</v>
      </c>
      <c r="E33" s="9">
        <v>0.23849815999999999</v>
      </c>
      <c r="F33" s="9">
        <v>0.23908072999999999</v>
      </c>
      <c r="G33" s="9">
        <v>0.24908277000000001</v>
      </c>
      <c r="H33" s="9">
        <v>0.24908351000000001</v>
      </c>
      <c r="I33" s="9">
        <v>0.23858206000000001</v>
      </c>
      <c r="J33" s="9">
        <v>0.20503660000000001</v>
      </c>
      <c r="K33" s="9">
        <v>0.22544359</v>
      </c>
      <c r="L33" s="9">
        <v>0.22544575</v>
      </c>
      <c r="M33" s="9">
        <v>0.22544526000000001</v>
      </c>
      <c r="N33" s="9">
        <v>0.1944466</v>
      </c>
      <c r="O33" s="9">
        <v>0.16172405000000001</v>
      </c>
      <c r="P33" s="9">
        <v>9.7221760000000004E-2</v>
      </c>
      <c r="Q33" s="9">
        <v>8.94514E-2</v>
      </c>
      <c r="R33" s="9">
        <v>9.403359E-2</v>
      </c>
      <c r="S33">
        <v>8.6344409999999996E-2</v>
      </c>
    </row>
    <row r="34" spans="1:19">
      <c r="A34" t="s">
        <v>68</v>
      </c>
      <c r="B34" s="7">
        <v>1</v>
      </c>
      <c r="C34" s="7">
        <v>1</v>
      </c>
      <c r="D34" s="7">
        <v>1</v>
      </c>
      <c r="E34" s="7">
        <v>1</v>
      </c>
      <c r="F34" s="7">
        <v>1</v>
      </c>
      <c r="G34" s="7">
        <v>1</v>
      </c>
      <c r="H34" s="7">
        <v>1</v>
      </c>
      <c r="I34" s="7">
        <v>1</v>
      </c>
      <c r="J34" s="7">
        <v>1</v>
      </c>
      <c r="K34" s="7">
        <v>1</v>
      </c>
      <c r="L34" s="7">
        <v>1</v>
      </c>
      <c r="M34" s="7">
        <v>1</v>
      </c>
      <c r="N34" s="7">
        <v>1</v>
      </c>
      <c r="O34" s="7">
        <v>1</v>
      </c>
      <c r="P34" s="7">
        <v>1</v>
      </c>
      <c r="Q34" s="7">
        <v>1</v>
      </c>
      <c r="R34" s="7">
        <v>1</v>
      </c>
      <c r="S34">
        <v>1</v>
      </c>
    </row>
    <row r="35" spans="1:19">
      <c r="A35" t="s">
        <v>69</v>
      </c>
      <c r="B35">
        <v>12368301.25</v>
      </c>
      <c r="C35">
        <v>11961757.890000001</v>
      </c>
      <c r="D35">
        <v>11961733.91</v>
      </c>
      <c r="E35">
        <v>10902679.23</v>
      </c>
      <c r="F35">
        <v>10929310.810000001</v>
      </c>
      <c r="G35">
        <v>11386543.119999999</v>
      </c>
      <c r="H35">
        <v>11386577.1</v>
      </c>
      <c r="I35">
        <v>10906514.74</v>
      </c>
      <c r="J35">
        <v>9373021.3800000008</v>
      </c>
      <c r="K35">
        <v>10305904.43</v>
      </c>
      <c r="L35">
        <v>10306003.119999999</v>
      </c>
      <c r="M35">
        <v>10305980.66</v>
      </c>
      <c r="N35">
        <v>8888911.1600000001</v>
      </c>
      <c r="O35">
        <v>7393035.9199999999</v>
      </c>
      <c r="P35">
        <v>4444385.38</v>
      </c>
      <c r="Q35">
        <v>4089171.86</v>
      </c>
      <c r="R35">
        <v>4298641.47</v>
      </c>
      <c r="S35">
        <v>3947139.07</v>
      </c>
    </row>
    <row r="36" spans="1:19">
      <c r="A36" t="s">
        <v>71</v>
      </c>
      <c r="B36">
        <v>33345592.07</v>
      </c>
      <c r="C36">
        <v>33752135.420000002</v>
      </c>
      <c r="D36">
        <v>33752159.399999999</v>
      </c>
      <c r="E36">
        <v>34811214.079999998</v>
      </c>
      <c r="F36">
        <v>34784582.509999998</v>
      </c>
      <c r="G36">
        <v>34327350.189999998</v>
      </c>
      <c r="H36">
        <v>34327316.210000001</v>
      </c>
      <c r="I36">
        <v>34807378.579999998</v>
      </c>
      <c r="J36">
        <v>36340871.93</v>
      </c>
      <c r="K36">
        <v>35407988.880000003</v>
      </c>
      <c r="L36">
        <v>35407890.189999998</v>
      </c>
      <c r="M36">
        <v>35407912.659999996</v>
      </c>
      <c r="N36">
        <v>36824982.159999996</v>
      </c>
      <c r="O36">
        <v>38320857.399999999</v>
      </c>
      <c r="P36">
        <v>41269507.93</v>
      </c>
      <c r="Q36">
        <v>41624721.460000001</v>
      </c>
      <c r="R36">
        <v>41415251.850000001</v>
      </c>
      <c r="S36">
        <v>41766754.25</v>
      </c>
    </row>
    <row r="37" spans="1:19">
      <c r="A37" t="s">
        <v>72</v>
      </c>
    </row>
    <row r="38" spans="1:19">
      <c r="A38" t="s">
        <v>73</v>
      </c>
      <c r="B38" s="9"/>
      <c r="C38" s="9"/>
      <c r="D38" s="9"/>
      <c r="E38" s="9"/>
      <c r="F38" s="9"/>
      <c r="G38" s="9"/>
      <c r="H38" s="9"/>
      <c r="I38" s="9"/>
      <c r="J38" s="9"/>
      <c r="K38" s="9"/>
      <c r="L38" s="9"/>
      <c r="M38" s="9"/>
      <c r="N38" s="9"/>
      <c r="O38" s="9"/>
      <c r="P38" s="9"/>
      <c r="Q38" s="9"/>
      <c r="R38" s="9"/>
    </row>
    <row r="39" spans="1:19">
      <c r="A39" t="s">
        <v>74</v>
      </c>
      <c r="B39" s="7"/>
      <c r="C39" s="7"/>
      <c r="D39" s="7"/>
      <c r="E39" s="7"/>
      <c r="F39" s="7"/>
      <c r="G39" s="7"/>
      <c r="H39" s="7"/>
      <c r="I39" s="7"/>
      <c r="J39" s="7"/>
      <c r="K39" s="7"/>
      <c r="L39" s="7"/>
      <c r="M39" s="7"/>
      <c r="N39" s="7"/>
      <c r="O39" s="7"/>
      <c r="P39" s="7"/>
      <c r="Q39" s="7"/>
      <c r="R39" s="7"/>
    </row>
    <row r="40" spans="1:19">
      <c r="A40" t="s">
        <v>75</v>
      </c>
      <c r="B40">
        <v>12368301.25</v>
      </c>
      <c r="C40">
        <v>11961757.890000001</v>
      </c>
      <c r="D40">
        <v>11961733.91</v>
      </c>
      <c r="E40">
        <v>10902679.23</v>
      </c>
      <c r="F40">
        <v>10929310.810000001</v>
      </c>
      <c r="G40">
        <v>11386543.119999999</v>
      </c>
      <c r="H40">
        <v>11386577.1</v>
      </c>
      <c r="I40">
        <v>10906514.74</v>
      </c>
      <c r="J40">
        <v>9373021.3800000008</v>
      </c>
      <c r="K40">
        <v>10305904.43</v>
      </c>
      <c r="L40">
        <v>10306003.119999999</v>
      </c>
      <c r="M40">
        <v>10305980.66</v>
      </c>
      <c r="N40">
        <v>8888911.1600000001</v>
      </c>
      <c r="O40">
        <v>7393035.9199999999</v>
      </c>
      <c r="P40">
        <v>4444385.38</v>
      </c>
      <c r="Q40">
        <v>4089171.86</v>
      </c>
      <c r="R40">
        <v>4298641.47</v>
      </c>
      <c r="S40">
        <v>3947139.07</v>
      </c>
    </row>
    <row r="41" spans="1:19">
      <c r="A41" t="s">
        <v>76</v>
      </c>
      <c r="B41">
        <v>33345592.07</v>
      </c>
      <c r="C41">
        <v>33752135.420000002</v>
      </c>
      <c r="D41">
        <v>33752159.399999999</v>
      </c>
      <c r="E41">
        <v>34811214.079999998</v>
      </c>
      <c r="F41">
        <v>34784582.509999998</v>
      </c>
      <c r="G41">
        <v>34327350.189999998</v>
      </c>
      <c r="H41">
        <v>34327316.210000001</v>
      </c>
      <c r="I41">
        <v>34807378.579999998</v>
      </c>
      <c r="J41">
        <v>36340871.93</v>
      </c>
      <c r="K41">
        <v>35407988.880000003</v>
      </c>
      <c r="L41">
        <v>35407890.189999998</v>
      </c>
      <c r="M41">
        <v>35407912.659999996</v>
      </c>
      <c r="N41">
        <v>36824982.159999996</v>
      </c>
      <c r="O41">
        <v>38320857.399999999</v>
      </c>
      <c r="P41">
        <v>41269507.93</v>
      </c>
      <c r="Q41">
        <v>41624721.460000001</v>
      </c>
      <c r="R41">
        <v>41415251.850000001</v>
      </c>
      <c r="S41">
        <v>41766754.25</v>
      </c>
    </row>
    <row r="42" spans="1:19">
      <c r="A42" t="s">
        <v>77</v>
      </c>
    </row>
    <row r="43" spans="1:19">
      <c r="A43" t="s">
        <v>7</v>
      </c>
      <c r="B43" t="s">
        <v>8</v>
      </c>
      <c r="C43" t="s">
        <v>13</v>
      </c>
      <c r="D43" t="s">
        <v>13</v>
      </c>
      <c r="E43" t="s">
        <v>8</v>
      </c>
      <c r="F43" t="s">
        <v>8</v>
      </c>
      <c r="G43" t="s">
        <v>15</v>
      </c>
      <c r="H43" t="s">
        <v>15</v>
      </c>
      <c r="I43" t="s">
        <v>17</v>
      </c>
      <c r="J43" t="s">
        <v>17</v>
      </c>
      <c r="K43" t="s">
        <v>18</v>
      </c>
      <c r="L43" t="s">
        <v>18</v>
      </c>
      <c r="M43" t="s">
        <v>18</v>
      </c>
      <c r="N43" t="s">
        <v>18</v>
      </c>
      <c r="O43" t="s">
        <v>18</v>
      </c>
      <c r="P43" t="s">
        <v>15</v>
      </c>
      <c r="Q43" t="s">
        <v>17</v>
      </c>
      <c r="R43" t="s">
        <v>17</v>
      </c>
      <c r="S43" t="s">
        <v>18</v>
      </c>
    </row>
    <row r="44" spans="1:19">
      <c r="A44" t="s">
        <v>9</v>
      </c>
      <c r="B44" t="s">
        <v>8</v>
      </c>
      <c r="C44" t="s">
        <v>8</v>
      </c>
      <c r="D44" t="s">
        <v>8</v>
      </c>
      <c r="E44" t="s">
        <v>8</v>
      </c>
      <c r="F44" t="s">
        <v>8</v>
      </c>
      <c r="G44" t="s">
        <v>8</v>
      </c>
      <c r="H44" t="s">
        <v>8</v>
      </c>
      <c r="I44" t="s">
        <v>8</v>
      </c>
      <c r="J44" t="s">
        <v>8</v>
      </c>
      <c r="K44" t="s">
        <v>8</v>
      </c>
      <c r="L44" t="s">
        <v>8</v>
      </c>
      <c r="M44" t="s">
        <v>8</v>
      </c>
      <c r="N44" t="s">
        <v>8</v>
      </c>
      <c r="O44" t="s">
        <v>8</v>
      </c>
      <c r="P44" t="s">
        <v>8</v>
      </c>
      <c r="Q44" t="s">
        <v>8</v>
      </c>
      <c r="R44" t="s">
        <v>8</v>
      </c>
      <c r="S44" t="s">
        <v>8</v>
      </c>
    </row>
    <row r="45" spans="1:19">
      <c r="A45" t="s">
        <v>10</v>
      </c>
      <c r="B45" t="s">
        <v>8</v>
      </c>
      <c r="C45" t="s">
        <v>8</v>
      </c>
      <c r="D45" t="s">
        <v>8</v>
      </c>
      <c r="E45" t="s">
        <v>20</v>
      </c>
      <c r="F45" t="s">
        <v>20</v>
      </c>
      <c r="G45" t="s">
        <v>8</v>
      </c>
      <c r="H45" t="s">
        <v>8</v>
      </c>
      <c r="I45" t="s">
        <v>8</v>
      </c>
      <c r="J45" t="s">
        <v>20</v>
      </c>
      <c r="K45" t="s">
        <v>8</v>
      </c>
      <c r="L45" t="s">
        <v>8</v>
      </c>
      <c r="M45" t="s">
        <v>8</v>
      </c>
      <c r="N45" t="s">
        <v>20</v>
      </c>
      <c r="O45" t="s">
        <v>199</v>
      </c>
      <c r="P45" t="s">
        <v>21</v>
      </c>
      <c r="Q45" t="s">
        <v>21</v>
      </c>
      <c r="R45" t="s">
        <v>21</v>
      </c>
      <c r="S45" t="s">
        <v>21</v>
      </c>
    </row>
    <row r="46" spans="1:19">
      <c r="A46" t="s">
        <v>11</v>
      </c>
      <c r="B46" t="s">
        <v>12</v>
      </c>
      <c r="C46" t="s">
        <v>12</v>
      </c>
      <c r="D46" t="s">
        <v>19</v>
      </c>
      <c r="E46" t="s">
        <v>12</v>
      </c>
      <c r="F46" t="s">
        <v>19</v>
      </c>
      <c r="G46" t="s">
        <v>12</v>
      </c>
      <c r="H46" t="s">
        <v>19</v>
      </c>
      <c r="I46" t="s">
        <v>12</v>
      </c>
      <c r="J46" t="s">
        <v>12</v>
      </c>
      <c r="K46" t="s">
        <v>12</v>
      </c>
      <c r="L46" t="s">
        <v>19</v>
      </c>
      <c r="M46" t="s">
        <v>14</v>
      </c>
      <c r="N46" t="s">
        <v>12</v>
      </c>
      <c r="O46" t="s">
        <v>12</v>
      </c>
      <c r="P46" t="s">
        <v>12</v>
      </c>
      <c r="Q46" t="s">
        <v>12</v>
      </c>
      <c r="R46" t="s">
        <v>19</v>
      </c>
      <c r="S46" t="s">
        <v>12</v>
      </c>
    </row>
    <row r="47" spans="1:19">
      <c r="A47" t="s">
        <v>78</v>
      </c>
    </row>
    <row r="48" spans="1:19">
      <c r="A48" t="s">
        <v>79</v>
      </c>
      <c r="B48" s="8">
        <v>0</v>
      </c>
      <c r="C48" s="8">
        <v>550000</v>
      </c>
      <c r="D48" s="6">
        <v>635000</v>
      </c>
      <c r="E48" s="6">
        <v>950000</v>
      </c>
      <c r="F48" s="6">
        <v>1035000</v>
      </c>
      <c r="G48" s="6">
        <v>1050000</v>
      </c>
      <c r="H48" s="6">
        <v>1135000</v>
      </c>
      <c r="I48" s="6">
        <v>1550000</v>
      </c>
      <c r="J48" s="8">
        <v>2500000</v>
      </c>
      <c r="K48" s="8">
        <v>2550000</v>
      </c>
      <c r="L48" s="8">
        <v>2635000</v>
      </c>
      <c r="M48" s="8">
        <v>2670000</v>
      </c>
      <c r="N48" s="8">
        <v>3500000</v>
      </c>
      <c r="O48" s="8">
        <v>4200000</v>
      </c>
      <c r="P48" s="8">
        <v>4800000</v>
      </c>
      <c r="Q48" s="8">
        <v>5300000</v>
      </c>
      <c r="R48" s="8">
        <v>5385000</v>
      </c>
      <c r="S48">
        <v>6300000</v>
      </c>
    </row>
    <row r="49" spans="1:19">
      <c r="A49" t="s">
        <v>80</v>
      </c>
      <c r="B49" s="9">
        <v>0.99999930999999997</v>
      </c>
      <c r="C49" s="9">
        <v>0.99999890000000002</v>
      </c>
      <c r="D49" s="9">
        <v>0.99999906000000005</v>
      </c>
      <c r="E49" s="9">
        <v>0.99999870999999996</v>
      </c>
      <c r="F49" s="9">
        <v>0.99999908999999998</v>
      </c>
      <c r="G49" s="9">
        <v>0.99999892000000001</v>
      </c>
      <c r="H49" s="9">
        <v>0.99999923999999996</v>
      </c>
      <c r="I49" s="9">
        <v>0.99999919000000004</v>
      </c>
      <c r="J49" s="9">
        <v>0.99999883000000001</v>
      </c>
      <c r="K49" s="9">
        <v>0.99999934000000001</v>
      </c>
      <c r="L49" s="9">
        <v>0.99999932000000002</v>
      </c>
      <c r="M49" s="9">
        <v>0.99999954999999996</v>
      </c>
      <c r="N49" s="9">
        <v>0.99999914000000001</v>
      </c>
      <c r="O49" s="9">
        <v>0.99999917999999999</v>
      </c>
      <c r="P49" s="9">
        <v>0.99999959000000005</v>
      </c>
      <c r="Q49" s="9">
        <v>0.99999969</v>
      </c>
      <c r="R49" s="9">
        <v>0.99999970000000005</v>
      </c>
      <c r="S49">
        <v>0.99999963999999997</v>
      </c>
    </row>
    <row r="50" spans="1:19">
      <c r="A50" t="s">
        <v>152</v>
      </c>
      <c r="B50">
        <v>13.35</v>
      </c>
      <c r="C50">
        <v>12.71</v>
      </c>
      <c r="D50">
        <v>12.71</v>
      </c>
      <c r="E50">
        <v>11.27</v>
      </c>
      <c r="F50">
        <v>11.29</v>
      </c>
      <c r="G50">
        <v>12</v>
      </c>
      <c r="H50">
        <v>12</v>
      </c>
      <c r="I50">
        <v>11.44</v>
      </c>
      <c r="J50">
        <v>9.4600000000000009</v>
      </c>
      <c r="K50">
        <v>10.75</v>
      </c>
      <c r="L50">
        <v>10.75</v>
      </c>
      <c r="M50">
        <v>10.75</v>
      </c>
      <c r="N50">
        <v>8.93</v>
      </c>
      <c r="O50">
        <v>7.35</v>
      </c>
      <c r="P50">
        <v>4.16</v>
      </c>
      <c r="Q50">
        <v>3.75</v>
      </c>
      <c r="R50">
        <v>3.98</v>
      </c>
      <c r="S50">
        <v>3.6</v>
      </c>
    </row>
    <row r="51" spans="1:19">
      <c r="A51" t="s">
        <v>153</v>
      </c>
      <c r="B51" s="5">
        <v>12597.733054040138</v>
      </c>
      <c r="C51" s="5">
        <v>12183.64832076502</v>
      </c>
      <c r="D51" s="5">
        <v>12183.623895936378</v>
      </c>
      <c r="E51" s="5">
        <v>11104.923767390277</v>
      </c>
      <c r="F51" s="5">
        <v>11132.049362802769</v>
      </c>
      <c r="G51" s="5">
        <v>11597.763325345693</v>
      </c>
      <c r="H51" s="5">
        <v>11597.797935674189</v>
      </c>
      <c r="I51" s="5">
        <v>11108.830426043671</v>
      </c>
      <c r="J51" s="5">
        <v>9546.8907870473249</v>
      </c>
      <c r="K51" s="5">
        <v>10497.07880373545</v>
      </c>
      <c r="L51" s="5">
        <v>10497.17932443348</v>
      </c>
      <c r="M51" s="5">
        <v>10497.156447800815</v>
      </c>
      <c r="N51" s="5">
        <v>9053.8003296740735</v>
      </c>
      <c r="O51" s="5">
        <v>7530.1766262436422</v>
      </c>
      <c r="P51" s="5">
        <v>4526.8286626280824</v>
      </c>
      <c r="Q51" s="5">
        <v>4165.025937120733</v>
      </c>
      <c r="R51" s="5">
        <v>4378.3812052675121</v>
      </c>
      <c r="S51" s="5">
        <v>4020.35844098091</v>
      </c>
    </row>
    <row r="52" spans="1:19">
      <c r="A52" t="s">
        <v>83</v>
      </c>
      <c r="B52">
        <v>0</v>
      </c>
      <c r="C52">
        <v>0</v>
      </c>
      <c r="D52" s="5">
        <v>0</v>
      </c>
      <c r="E52" s="5">
        <v>565.01</v>
      </c>
      <c r="F52" s="5">
        <v>590.51</v>
      </c>
      <c r="G52" s="5">
        <v>79408.479999999996</v>
      </c>
      <c r="H52" s="5">
        <v>79408.479999999996</v>
      </c>
      <c r="I52" s="5">
        <v>724836.55</v>
      </c>
      <c r="J52" s="5">
        <v>1313588.0900000001</v>
      </c>
      <c r="K52" s="5">
        <v>3302668.13</v>
      </c>
      <c r="L52" s="5">
        <v>3302668.13</v>
      </c>
      <c r="M52" s="5">
        <v>3302668.13</v>
      </c>
      <c r="N52" s="5">
        <v>4329053.8600000003</v>
      </c>
      <c r="O52" s="5">
        <v>5592241.0800000001</v>
      </c>
      <c r="P52" s="5">
        <v>10401360.380000001</v>
      </c>
      <c r="Q52" s="5">
        <v>12646025.460000001</v>
      </c>
      <c r="R52" s="5">
        <v>12261919.68</v>
      </c>
      <c r="S52">
        <v>16651739.08</v>
      </c>
    </row>
    <row r="53" spans="1:19">
      <c r="A53" t="s">
        <v>84</v>
      </c>
      <c r="B53" s="9">
        <v>0.58950000000000002</v>
      </c>
      <c r="C53" s="9">
        <v>0.55869999999999997</v>
      </c>
      <c r="D53" s="5">
        <v>0.56030000000000002</v>
      </c>
      <c r="E53" s="5">
        <v>0.52239999999999998</v>
      </c>
      <c r="F53" s="5">
        <v>0.52339999999999998</v>
      </c>
      <c r="G53" s="5">
        <v>0.52080000000000004</v>
      </c>
      <c r="H53" s="5">
        <v>0.52210000000000001</v>
      </c>
      <c r="I53" s="5">
        <v>0.49220000000000003</v>
      </c>
      <c r="J53" s="7">
        <v>0.41070000000000001</v>
      </c>
      <c r="K53" s="9">
        <v>0.45739999999999997</v>
      </c>
      <c r="L53" s="9">
        <v>0.46029999999999999</v>
      </c>
      <c r="M53" s="9">
        <v>0.46100000000000002</v>
      </c>
      <c r="N53" s="9">
        <v>0.38379999999999997</v>
      </c>
      <c r="O53" s="9">
        <v>0.28699999999999998</v>
      </c>
      <c r="P53" s="9">
        <v>0.16209999999999999</v>
      </c>
      <c r="Q53" s="9">
        <v>0.14380000000000001</v>
      </c>
      <c r="R53" s="9">
        <v>0.15440000000000001</v>
      </c>
      <c r="S53">
        <v>0.1384</v>
      </c>
    </row>
    <row r="54" spans="1:19">
      <c r="A54" t="s">
        <v>213</v>
      </c>
      <c r="B54" s="5">
        <v>12597.733054040138</v>
      </c>
      <c r="C54" s="5">
        <v>12183.64832076502</v>
      </c>
      <c r="D54" s="5">
        <v>12183.623895936378</v>
      </c>
      <c r="E54" s="5">
        <v>11104.923767390277</v>
      </c>
      <c r="F54" s="5">
        <v>11132.049362802769</v>
      </c>
      <c r="G54" s="5">
        <v>11597.763325345693</v>
      </c>
      <c r="H54" s="5">
        <v>11597.797935674189</v>
      </c>
      <c r="I54" s="5">
        <v>11108.830426043671</v>
      </c>
      <c r="J54" s="5">
        <v>9546.8907870473249</v>
      </c>
      <c r="K54" s="5">
        <v>10497.07880373545</v>
      </c>
      <c r="L54" s="5">
        <v>10497.17932443348</v>
      </c>
      <c r="M54" s="5">
        <v>10497.156447800815</v>
      </c>
      <c r="N54" s="5">
        <v>9053.8003296740735</v>
      </c>
      <c r="O54" s="5">
        <v>7530.1766262436422</v>
      </c>
      <c r="P54" s="5">
        <v>4526.8286626280824</v>
      </c>
      <c r="Q54" s="5">
        <v>4165.025937120733</v>
      </c>
      <c r="R54" s="5">
        <v>4378.3812052675121</v>
      </c>
      <c r="S54" s="5">
        <v>4020.35844098091</v>
      </c>
    </row>
    <row r="55" spans="1:19">
      <c r="A55" t="s">
        <v>214</v>
      </c>
      <c r="B55" s="5">
        <v>0</v>
      </c>
      <c r="C55" s="5">
        <v>0</v>
      </c>
      <c r="D55" s="5">
        <v>0</v>
      </c>
      <c r="E55" s="5">
        <v>0</v>
      </c>
      <c r="F55" s="5">
        <v>0</v>
      </c>
      <c r="G55" s="5">
        <v>0</v>
      </c>
      <c r="H55" s="5">
        <v>0</v>
      </c>
      <c r="I55" s="5">
        <v>0</v>
      </c>
      <c r="J55" s="5">
        <v>0</v>
      </c>
      <c r="K55" s="5">
        <v>0</v>
      </c>
      <c r="L55" s="5">
        <v>0</v>
      </c>
      <c r="M55" s="5">
        <v>0</v>
      </c>
      <c r="N55" s="5">
        <v>0</v>
      </c>
      <c r="O55" s="5">
        <v>0</v>
      </c>
      <c r="P55" s="5">
        <v>0</v>
      </c>
      <c r="Q55" s="5">
        <v>0</v>
      </c>
      <c r="R55" s="5">
        <v>0</v>
      </c>
      <c r="S55" s="5">
        <v>0</v>
      </c>
    </row>
    <row r="56" spans="1:19">
      <c r="A56" t="s">
        <v>25</v>
      </c>
      <c r="B56" s="9"/>
      <c r="C56" s="9"/>
      <c r="D56" s="9"/>
      <c r="E56" s="9"/>
      <c r="F56" s="9"/>
      <c r="G56" s="9"/>
      <c r="H56" s="9"/>
      <c r="I56" s="9"/>
    </row>
    <row r="57" spans="1:19">
      <c r="A57" t="s">
        <v>85</v>
      </c>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v>0</v>
      </c>
    </row>
    <row r="58" spans="1:19">
      <c r="A58" t="s">
        <v>86</v>
      </c>
      <c r="B58" s="8">
        <v>0</v>
      </c>
      <c r="C58" s="8">
        <v>550000</v>
      </c>
      <c r="D58" s="8">
        <v>635000</v>
      </c>
      <c r="E58" s="8">
        <v>950000</v>
      </c>
      <c r="F58" s="8">
        <v>1035000</v>
      </c>
      <c r="G58" s="8">
        <v>1050000</v>
      </c>
      <c r="H58" s="8">
        <v>1135000</v>
      </c>
      <c r="I58" s="8">
        <v>1550000</v>
      </c>
      <c r="J58" s="8">
        <v>2500000</v>
      </c>
      <c r="K58" s="8">
        <v>2550000</v>
      </c>
      <c r="L58" s="8">
        <v>2635000</v>
      </c>
      <c r="M58" s="8">
        <v>2670000</v>
      </c>
      <c r="N58" s="8">
        <v>3500000</v>
      </c>
      <c r="O58" s="8">
        <v>4200000</v>
      </c>
      <c r="P58" s="8">
        <v>4800000</v>
      </c>
      <c r="Q58" s="8">
        <v>5300000</v>
      </c>
      <c r="R58" s="8">
        <v>5385000</v>
      </c>
      <c r="S58">
        <v>6300000</v>
      </c>
    </row>
    <row r="59" spans="1:19">
      <c r="A59" t="s">
        <v>87</v>
      </c>
      <c r="B59" s="8">
        <v>0</v>
      </c>
      <c r="C59" s="8">
        <v>550000</v>
      </c>
      <c r="D59" s="8">
        <v>635000</v>
      </c>
      <c r="E59" s="8">
        <v>950000</v>
      </c>
      <c r="F59" s="8">
        <v>1035000</v>
      </c>
      <c r="G59" s="8">
        <v>1050000</v>
      </c>
      <c r="H59" s="8">
        <v>1135000</v>
      </c>
      <c r="I59" s="8">
        <v>1550000</v>
      </c>
      <c r="J59" s="8">
        <v>2500000</v>
      </c>
      <c r="K59" s="8">
        <v>2550000</v>
      </c>
      <c r="L59" s="8">
        <v>2635000</v>
      </c>
      <c r="M59" s="8">
        <v>2670000</v>
      </c>
      <c r="N59" s="8">
        <v>3500000</v>
      </c>
      <c r="O59" s="8">
        <v>4200000</v>
      </c>
      <c r="P59" s="8">
        <v>4800000</v>
      </c>
      <c r="Q59" s="8">
        <v>5300000</v>
      </c>
      <c r="R59" s="8">
        <v>5385000</v>
      </c>
      <c r="S59">
        <v>6300000</v>
      </c>
    </row>
    <row r="60" spans="1:19">
      <c r="A60" t="s">
        <v>88</v>
      </c>
      <c r="B60" s="8"/>
      <c r="C60" s="8"/>
      <c r="D60" s="8"/>
      <c r="E60" s="8"/>
      <c r="F60" s="8"/>
      <c r="G60" s="8"/>
      <c r="H60" s="8"/>
      <c r="I60" s="8"/>
    </row>
    <row r="61" spans="1:19">
      <c r="A61" t="s">
        <v>89</v>
      </c>
      <c r="B61">
        <v>1278</v>
      </c>
      <c r="C61">
        <v>1278</v>
      </c>
      <c r="D61">
        <v>1278</v>
      </c>
      <c r="E61">
        <v>1278</v>
      </c>
      <c r="F61">
        <v>1278</v>
      </c>
      <c r="G61">
        <v>1278</v>
      </c>
      <c r="H61">
        <v>1278</v>
      </c>
      <c r="I61">
        <v>1278</v>
      </c>
      <c r="J61">
        <v>1278</v>
      </c>
      <c r="K61">
        <v>1278</v>
      </c>
      <c r="L61">
        <v>1278</v>
      </c>
      <c r="M61">
        <v>1278</v>
      </c>
      <c r="N61">
        <v>1278</v>
      </c>
      <c r="O61">
        <v>1278</v>
      </c>
      <c r="P61">
        <v>1278</v>
      </c>
      <c r="Q61">
        <v>1278</v>
      </c>
      <c r="R61">
        <v>1278</v>
      </c>
      <c r="S61">
        <v>1278</v>
      </c>
    </row>
    <row r="62" spans="1:19">
      <c r="A62" t="s">
        <v>96</v>
      </c>
      <c r="B62" s="9">
        <v>0</v>
      </c>
      <c r="C62" s="9">
        <v>100</v>
      </c>
      <c r="D62">
        <v>100</v>
      </c>
      <c r="E62">
        <v>100</v>
      </c>
      <c r="F62">
        <v>100</v>
      </c>
      <c r="G62">
        <v>200</v>
      </c>
      <c r="H62">
        <v>200</v>
      </c>
      <c r="I62">
        <v>300</v>
      </c>
      <c r="J62">
        <v>300</v>
      </c>
      <c r="K62">
        <v>500</v>
      </c>
      <c r="L62">
        <v>500</v>
      </c>
      <c r="M62">
        <v>500</v>
      </c>
      <c r="N62">
        <v>500</v>
      </c>
      <c r="O62">
        <v>500</v>
      </c>
      <c r="P62">
        <v>200</v>
      </c>
      <c r="Q62">
        <v>300</v>
      </c>
      <c r="R62">
        <v>300</v>
      </c>
      <c r="S62">
        <v>500</v>
      </c>
    </row>
    <row r="63" spans="1:19">
      <c r="A63" t="s">
        <v>97</v>
      </c>
      <c r="B63" s="9">
        <v>0</v>
      </c>
      <c r="C63" s="9" t="e">
        <v>#VALUE!</v>
      </c>
      <c r="D63">
        <v>0</v>
      </c>
      <c r="E63">
        <v>0</v>
      </c>
      <c r="F63">
        <v>0</v>
      </c>
      <c r="G63">
        <v>0</v>
      </c>
      <c r="H63">
        <v>0</v>
      </c>
      <c r="I63">
        <v>0</v>
      </c>
      <c r="J63">
        <v>100</v>
      </c>
      <c r="K63">
        <v>0</v>
      </c>
      <c r="L63">
        <v>0</v>
      </c>
      <c r="M63">
        <v>0</v>
      </c>
      <c r="N63">
        <v>100</v>
      </c>
      <c r="O63">
        <v>200</v>
      </c>
      <c r="P63">
        <v>500</v>
      </c>
      <c r="Q63">
        <v>500</v>
      </c>
      <c r="R63">
        <v>500</v>
      </c>
      <c r="S63">
        <v>500</v>
      </c>
    </row>
    <row r="64" spans="1:19">
      <c r="A64" t="s">
        <v>90</v>
      </c>
      <c r="B64" s="9">
        <v>0.34989999999999999</v>
      </c>
      <c r="C64" s="9">
        <v>0.34260000000000002</v>
      </c>
      <c r="D64" s="9">
        <v>0.34300000000000003</v>
      </c>
      <c r="E64" s="9">
        <v>0.33960000000000001</v>
      </c>
      <c r="F64" s="9">
        <v>0.33960000000000001</v>
      </c>
      <c r="G64" s="9">
        <v>0.3236</v>
      </c>
      <c r="H64" s="9">
        <v>0.3236</v>
      </c>
      <c r="I64" s="9">
        <v>0.30520000000000003</v>
      </c>
      <c r="J64" s="9">
        <v>0.28160000000000002</v>
      </c>
      <c r="K64" s="9">
        <v>0.28320000000000001</v>
      </c>
      <c r="L64" s="9">
        <v>0.2843</v>
      </c>
      <c r="M64" s="9">
        <v>0.28439999999999999</v>
      </c>
      <c r="N64" s="9">
        <v>0.26140000000000002</v>
      </c>
      <c r="O64" s="9">
        <v>0.2243</v>
      </c>
      <c r="P64" s="9">
        <v>0.1216</v>
      </c>
      <c r="Q64" s="9">
        <v>0.1095</v>
      </c>
      <c r="R64" s="9">
        <v>0.11550000000000001</v>
      </c>
      <c r="S64">
        <v>0.1042</v>
      </c>
    </row>
    <row r="65" spans="1:19">
      <c r="A65" t="s">
        <v>91</v>
      </c>
      <c r="B65" s="9">
        <v>0.58950000000000002</v>
      </c>
      <c r="C65" s="9">
        <v>0.55869999999999997</v>
      </c>
      <c r="D65" s="9">
        <v>0.56030000000000002</v>
      </c>
      <c r="E65" s="9">
        <v>0.52239999999999998</v>
      </c>
      <c r="F65" s="9">
        <v>0.52339999999999998</v>
      </c>
      <c r="G65" s="9">
        <v>0.52080000000000004</v>
      </c>
      <c r="H65" s="9">
        <v>0.52210000000000001</v>
      </c>
      <c r="I65" s="9">
        <v>0.49220000000000003</v>
      </c>
      <c r="J65" s="9">
        <v>0.41070000000000001</v>
      </c>
      <c r="K65" s="9">
        <v>0.45739999999999997</v>
      </c>
      <c r="L65" s="9">
        <v>0.46029999999999999</v>
      </c>
      <c r="M65" s="9">
        <v>0.46100000000000002</v>
      </c>
      <c r="N65" s="9">
        <v>0.38379999999999997</v>
      </c>
      <c r="O65" s="9">
        <v>0.28699999999999998</v>
      </c>
      <c r="P65" s="9">
        <v>0.16209999999999999</v>
      </c>
      <c r="Q65" s="9">
        <v>0.14380000000000001</v>
      </c>
      <c r="R65" s="9">
        <v>0.15440000000000001</v>
      </c>
      <c r="S65">
        <v>0.1384</v>
      </c>
    </row>
    <row r="66" spans="1:19">
      <c r="A66" t="s">
        <v>92</v>
      </c>
      <c r="B66" s="9"/>
      <c r="C66" s="9"/>
      <c r="D66" s="9"/>
      <c r="E66" s="9"/>
      <c r="F66" s="9"/>
      <c r="G66" s="9"/>
      <c r="H66" s="9"/>
      <c r="I66" s="9"/>
      <c r="J66" s="7"/>
      <c r="K66" s="9"/>
      <c r="L66" s="9"/>
    </row>
    <row r="67" spans="1:19">
      <c r="A67" t="s">
        <v>51</v>
      </c>
      <c r="B67" s="9">
        <v>0</v>
      </c>
      <c r="C67" s="9">
        <v>2261093.2999999998</v>
      </c>
      <c r="D67" s="9">
        <v>2261093.2999999998</v>
      </c>
      <c r="E67" s="9">
        <v>0</v>
      </c>
      <c r="F67" s="9">
        <v>0</v>
      </c>
      <c r="G67" s="9">
        <v>4442778.12</v>
      </c>
      <c r="H67" s="9">
        <v>4442778.12</v>
      </c>
      <c r="I67" s="9">
        <v>6058443.3499999996</v>
      </c>
      <c r="J67">
        <v>6058443.3499999996</v>
      </c>
      <c r="K67">
        <v>8002798.3600000003</v>
      </c>
      <c r="L67">
        <v>8002798.3600000003</v>
      </c>
      <c r="M67">
        <v>8002798.3600000003</v>
      </c>
      <c r="N67">
        <v>8002798.3600000003</v>
      </c>
      <c r="O67">
        <v>8002798.3600000003</v>
      </c>
      <c r="P67">
        <v>4442778.12</v>
      </c>
      <c r="Q67">
        <v>6058443.3499999996</v>
      </c>
      <c r="R67">
        <v>6058443.3499999996</v>
      </c>
      <c r="S67">
        <v>8002798.3600000003</v>
      </c>
    </row>
    <row r="68" spans="1:19">
      <c r="A68" t="s">
        <v>55</v>
      </c>
      <c r="B68" s="9">
        <v>0</v>
      </c>
      <c r="C68" s="9">
        <v>2261093.2999999998</v>
      </c>
      <c r="D68" s="9">
        <v>2261093.2999999998</v>
      </c>
      <c r="E68" s="9">
        <v>0</v>
      </c>
      <c r="F68" s="9">
        <v>0</v>
      </c>
      <c r="G68" s="9">
        <v>4442778.12</v>
      </c>
      <c r="H68">
        <v>4442778.12</v>
      </c>
      <c r="I68" s="9">
        <v>6058443.3499999996</v>
      </c>
      <c r="J68">
        <v>6058443.3499999996</v>
      </c>
      <c r="K68">
        <v>8002798.3600000003</v>
      </c>
      <c r="L68">
        <v>8002798.3600000003</v>
      </c>
      <c r="M68">
        <v>8002798.3600000003</v>
      </c>
      <c r="N68">
        <v>8002798.3600000003</v>
      </c>
      <c r="O68">
        <v>8002798.3600000003</v>
      </c>
      <c r="P68">
        <v>4442778.12</v>
      </c>
      <c r="Q68">
        <v>6058443.3499999996</v>
      </c>
      <c r="R68">
        <v>6058443.3499999996</v>
      </c>
      <c r="S68">
        <v>8002798.3600000003</v>
      </c>
    </row>
    <row r="69" spans="1:19">
      <c r="A69" t="s">
        <v>53</v>
      </c>
      <c r="B69" s="9">
        <v>0</v>
      </c>
      <c r="C69" s="9">
        <v>2261093.2999999998</v>
      </c>
      <c r="D69">
        <v>2261093.2999999998</v>
      </c>
      <c r="E69">
        <v>0</v>
      </c>
      <c r="F69">
        <v>0</v>
      </c>
      <c r="G69">
        <v>4442778.12</v>
      </c>
      <c r="H69">
        <v>4442778.12</v>
      </c>
      <c r="I69">
        <v>6058443.3499999996</v>
      </c>
      <c r="J69">
        <v>6058443.3499999996</v>
      </c>
      <c r="K69">
        <v>8002798.3600000003</v>
      </c>
      <c r="L69">
        <v>8002798.3600000003</v>
      </c>
      <c r="M69">
        <v>8002798.3600000003</v>
      </c>
      <c r="N69">
        <v>8002798.3600000003</v>
      </c>
      <c r="O69">
        <v>8002798.3600000003</v>
      </c>
      <c r="P69">
        <v>4442778.12</v>
      </c>
      <c r="Q69">
        <v>6058443.3499999996</v>
      </c>
      <c r="R69">
        <v>6058443.3499999996</v>
      </c>
      <c r="S69">
        <v>8002798.3600000003</v>
      </c>
    </row>
    <row r="70" spans="1:19">
      <c r="A70" t="s">
        <v>65</v>
      </c>
      <c r="B70">
        <v>0</v>
      </c>
      <c r="C70">
        <v>2261093.2999999998</v>
      </c>
      <c r="D70">
        <v>2261093.2999999998</v>
      </c>
      <c r="E70">
        <v>0</v>
      </c>
      <c r="F70">
        <v>0</v>
      </c>
      <c r="G70">
        <v>4442778.12</v>
      </c>
      <c r="H70">
        <v>4442778.12</v>
      </c>
      <c r="I70">
        <v>6058443.3499999996</v>
      </c>
      <c r="J70">
        <v>6058443.3499999996</v>
      </c>
      <c r="K70">
        <v>8002798.3600000003</v>
      </c>
      <c r="L70">
        <v>8002798.3600000003</v>
      </c>
      <c r="M70">
        <v>8002798.3600000003</v>
      </c>
      <c r="N70">
        <v>8002798.3600000003</v>
      </c>
      <c r="O70">
        <v>8002798.3600000003</v>
      </c>
      <c r="P70">
        <v>4442778.12</v>
      </c>
      <c r="Q70">
        <v>6058443.3499999996</v>
      </c>
      <c r="R70">
        <v>6058443.3499999996</v>
      </c>
      <c r="S70">
        <v>8002798.3600000003</v>
      </c>
    </row>
    <row r="71" spans="1:19">
      <c r="A71" t="s">
        <v>93</v>
      </c>
    </row>
    <row r="72" spans="1:19">
      <c r="A72" t="s">
        <v>51</v>
      </c>
      <c r="B72">
        <v>0</v>
      </c>
      <c r="C72">
        <v>0</v>
      </c>
      <c r="D72">
        <v>0</v>
      </c>
      <c r="E72">
        <v>0</v>
      </c>
      <c r="F72">
        <v>0</v>
      </c>
      <c r="G72">
        <v>79408.479999999996</v>
      </c>
      <c r="H72">
        <v>79408.479999999996</v>
      </c>
      <c r="I72">
        <v>724836.55</v>
      </c>
      <c r="J72">
        <v>724836.55</v>
      </c>
      <c r="K72">
        <v>3302668.13</v>
      </c>
      <c r="L72">
        <v>3302668.13</v>
      </c>
      <c r="M72">
        <v>3302668.13</v>
      </c>
      <c r="N72">
        <v>3302668.13</v>
      </c>
      <c r="O72">
        <v>3302668.13</v>
      </c>
      <c r="P72">
        <v>79408.479999999996</v>
      </c>
      <c r="Q72">
        <v>724836.55</v>
      </c>
      <c r="R72">
        <v>724836.55</v>
      </c>
      <c r="S72">
        <v>3302668.13</v>
      </c>
    </row>
    <row r="73" spans="1:19">
      <c r="A73" t="s">
        <v>55</v>
      </c>
      <c r="B73">
        <v>0</v>
      </c>
      <c r="C73">
        <v>0</v>
      </c>
      <c r="D73">
        <v>0</v>
      </c>
      <c r="E73">
        <v>0</v>
      </c>
      <c r="F73">
        <v>0</v>
      </c>
      <c r="G73">
        <v>79408.479999999996</v>
      </c>
      <c r="H73">
        <v>79408.479999999996</v>
      </c>
      <c r="I73">
        <v>724836.55</v>
      </c>
      <c r="J73">
        <v>724836.55</v>
      </c>
      <c r="K73">
        <v>3302668.13</v>
      </c>
      <c r="L73">
        <v>3302668.13</v>
      </c>
      <c r="M73">
        <v>3302668.13</v>
      </c>
      <c r="N73">
        <v>3302668.13</v>
      </c>
      <c r="O73">
        <v>3302668.13</v>
      </c>
      <c r="P73">
        <v>79408.479999999996</v>
      </c>
      <c r="Q73">
        <v>724836.55</v>
      </c>
      <c r="R73">
        <v>724836.55</v>
      </c>
      <c r="S73">
        <v>3302668.13</v>
      </c>
    </row>
    <row r="74" spans="1:19">
      <c r="A74" t="s">
        <v>53</v>
      </c>
      <c r="B74">
        <v>0</v>
      </c>
      <c r="C74">
        <v>0</v>
      </c>
      <c r="D74">
        <v>0</v>
      </c>
      <c r="E74">
        <v>0</v>
      </c>
      <c r="F74">
        <v>0</v>
      </c>
      <c r="G74">
        <v>79408.479999999996</v>
      </c>
      <c r="H74">
        <v>79408.479999999996</v>
      </c>
      <c r="I74">
        <v>724836.55</v>
      </c>
      <c r="J74">
        <v>724836.55</v>
      </c>
      <c r="K74">
        <v>3302668.13</v>
      </c>
      <c r="L74">
        <v>3302668.13</v>
      </c>
      <c r="M74">
        <v>3302668.13</v>
      </c>
      <c r="N74">
        <v>3302668.13</v>
      </c>
      <c r="O74">
        <v>3302668.13</v>
      </c>
      <c r="P74">
        <v>79408.479999999996</v>
      </c>
      <c r="Q74">
        <v>724836.55</v>
      </c>
      <c r="R74">
        <v>724836.55</v>
      </c>
      <c r="S74">
        <v>3302668.13</v>
      </c>
    </row>
    <row r="75" spans="1:19">
      <c r="A75" t="s">
        <v>65</v>
      </c>
      <c r="B75">
        <v>0</v>
      </c>
      <c r="C75">
        <v>0</v>
      </c>
      <c r="D75">
        <v>0</v>
      </c>
      <c r="E75">
        <v>0</v>
      </c>
      <c r="F75">
        <v>0</v>
      </c>
      <c r="G75">
        <v>79408.479999999996</v>
      </c>
      <c r="H75">
        <v>79408.479999999996</v>
      </c>
      <c r="I75">
        <v>724836.55</v>
      </c>
      <c r="J75">
        <v>724836.55</v>
      </c>
      <c r="K75">
        <v>3302668.13</v>
      </c>
      <c r="L75">
        <v>3302668.13</v>
      </c>
      <c r="M75">
        <v>3302668.13</v>
      </c>
      <c r="N75">
        <v>3302668.13</v>
      </c>
      <c r="O75">
        <v>3302668.13</v>
      </c>
      <c r="P75">
        <v>79408.479999999996</v>
      </c>
      <c r="Q75">
        <v>724836.55</v>
      </c>
      <c r="R75">
        <v>724836.55</v>
      </c>
      <c r="S75">
        <v>3302668.13</v>
      </c>
    </row>
    <row r="76" spans="1:19">
      <c r="A76" t="s">
        <v>94</v>
      </c>
    </row>
    <row r="77" spans="1:19">
      <c r="A77" t="s">
        <v>51</v>
      </c>
      <c r="B77">
        <v>0</v>
      </c>
      <c r="C77">
        <v>0</v>
      </c>
      <c r="D77">
        <v>0</v>
      </c>
      <c r="E77">
        <v>6906918.8200000003</v>
      </c>
      <c r="F77">
        <v>6834760.9299999997</v>
      </c>
      <c r="G77">
        <v>0</v>
      </c>
      <c r="H77">
        <v>0</v>
      </c>
      <c r="I77">
        <v>0</v>
      </c>
      <c r="J77">
        <v>6393599.7400000002</v>
      </c>
      <c r="K77">
        <v>0</v>
      </c>
      <c r="L77">
        <v>0</v>
      </c>
      <c r="M77">
        <v>0</v>
      </c>
      <c r="N77">
        <v>5869562.6200000001</v>
      </c>
      <c r="O77">
        <v>11281664.59</v>
      </c>
      <c r="P77">
        <v>23450019.600000001</v>
      </c>
      <c r="Q77">
        <v>23008661.079999998</v>
      </c>
      <c r="R77">
        <v>22316430.359999999</v>
      </c>
      <c r="S77">
        <v>21430944.050000001</v>
      </c>
    </row>
    <row r="78" spans="1:19">
      <c r="A78" t="s">
        <v>55</v>
      </c>
      <c r="B78">
        <v>0</v>
      </c>
      <c r="C78">
        <v>0</v>
      </c>
      <c r="D78">
        <v>0</v>
      </c>
      <c r="E78">
        <v>6906918.8200000003</v>
      </c>
      <c r="F78">
        <v>6834760.9299999997</v>
      </c>
      <c r="G78">
        <v>0</v>
      </c>
      <c r="H78">
        <v>0</v>
      </c>
      <c r="I78">
        <v>0</v>
      </c>
      <c r="J78">
        <v>6393599.7400000002</v>
      </c>
      <c r="K78">
        <v>0</v>
      </c>
      <c r="L78">
        <v>0</v>
      </c>
      <c r="M78">
        <v>0</v>
      </c>
      <c r="N78">
        <v>5869562.6200000001</v>
      </c>
      <c r="O78">
        <v>11281664.59</v>
      </c>
      <c r="P78">
        <v>23450019.600000001</v>
      </c>
      <c r="Q78">
        <v>23008661.079999998</v>
      </c>
      <c r="R78">
        <v>22316430.359999999</v>
      </c>
      <c r="S78">
        <v>21430944.050000001</v>
      </c>
    </row>
    <row r="79" spans="1:19">
      <c r="A79" t="s">
        <v>53</v>
      </c>
      <c r="B79">
        <v>0</v>
      </c>
      <c r="C79">
        <v>0</v>
      </c>
      <c r="D79">
        <v>0</v>
      </c>
      <c r="E79">
        <v>6906918.8200000003</v>
      </c>
      <c r="F79">
        <v>6834760.9299999997</v>
      </c>
      <c r="G79">
        <v>0</v>
      </c>
      <c r="H79">
        <v>0</v>
      </c>
      <c r="I79">
        <v>0</v>
      </c>
      <c r="J79">
        <v>6393599.7400000002</v>
      </c>
      <c r="K79">
        <v>0</v>
      </c>
      <c r="L79">
        <v>0</v>
      </c>
      <c r="M79">
        <v>0</v>
      </c>
      <c r="N79">
        <v>5869562.6200000001</v>
      </c>
      <c r="O79">
        <v>11281664.59</v>
      </c>
      <c r="P79">
        <v>23450019.600000001</v>
      </c>
      <c r="Q79">
        <v>23008661.079999998</v>
      </c>
      <c r="R79">
        <v>22316430.359999999</v>
      </c>
      <c r="S79">
        <v>21430944.050000001</v>
      </c>
    </row>
    <row r="80" spans="1:19">
      <c r="A80" t="s">
        <v>65</v>
      </c>
      <c r="B80">
        <v>0</v>
      </c>
      <c r="C80">
        <v>0</v>
      </c>
      <c r="D80">
        <v>0</v>
      </c>
      <c r="E80">
        <v>6906918.8200000003</v>
      </c>
      <c r="F80">
        <v>6834760.9299999997</v>
      </c>
      <c r="G80">
        <v>0</v>
      </c>
      <c r="H80">
        <v>0</v>
      </c>
      <c r="I80">
        <v>0</v>
      </c>
      <c r="J80">
        <v>6393599.7400000002</v>
      </c>
      <c r="K80">
        <v>0</v>
      </c>
      <c r="L80">
        <v>0</v>
      </c>
      <c r="M80">
        <v>0</v>
      </c>
      <c r="N80">
        <v>5869562.6200000001</v>
      </c>
      <c r="O80">
        <v>11281664.59</v>
      </c>
      <c r="P80">
        <v>23450019.600000001</v>
      </c>
      <c r="Q80">
        <v>23008661.079999998</v>
      </c>
      <c r="R80">
        <v>22316430.359999999</v>
      </c>
      <c r="S80">
        <v>21430944.050000001</v>
      </c>
    </row>
    <row r="81" spans="1:19">
      <c r="A81" t="s">
        <v>95</v>
      </c>
    </row>
    <row r="82" spans="1:19">
      <c r="A82" t="s">
        <v>51</v>
      </c>
      <c r="B82">
        <v>0</v>
      </c>
      <c r="C82">
        <v>0</v>
      </c>
      <c r="D82">
        <v>0</v>
      </c>
      <c r="E82">
        <v>565.01</v>
      </c>
      <c r="F82">
        <v>590.51</v>
      </c>
      <c r="G82">
        <v>0</v>
      </c>
      <c r="H82">
        <v>0</v>
      </c>
      <c r="I82">
        <v>0</v>
      </c>
      <c r="J82">
        <v>588751.54</v>
      </c>
      <c r="K82">
        <v>0</v>
      </c>
      <c r="L82">
        <v>0</v>
      </c>
      <c r="M82">
        <v>0</v>
      </c>
      <c r="N82">
        <v>1026385.72</v>
      </c>
      <c r="O82">
        <v>2289572.94</v>
      </c>
      <c r="P82">
        <v>10321951.9</v>
      </c>
      <c r="Q82">
        <v>11921188.91</v>
      </c>
      <c r="R82">
        <v>11537083.140000001</v>
      </c>
      <c r="S82">
        <v>13349070.949999999</v>
      </c>
    </row>
    <row r="83" spans="1:19">
      <c r="A83" t="s">
        <v>55</v>
      </c>
      <c r="B83">
        <v>0</v>
      </c>
      <c r="C83">
        <v>0</v>
      </c>
      <c r="D83">
        <v>0</v>
      </c>
      <c r="E83">
        <v>565.01</v>
      </c>
      <c r="F83">
        <v>590.51</v>
      </c>
      <c r="G83">
        <v>0</v>
      </c>
      <c r="H83">
        <v>0</v>
      </c>
      <c r="I83">
        <v>0</v>
      </c>
      <c r="J83">
        <v>588751.54</v>
      </c>
      <c r="K83">
        <v>0</v>
      </c>
      <c r="L83">
        <v>0</v>
      </c>
      <c r="M83">
        <v>0</v>
      </c>
      <c r="N83">
        <v>1026385.72</v>
      </c>
      <c r="O83">
        <v>2289572.94</v>
      </c>
      <c r="P83">
        <v>10321951.9</v>
      </c>
      <c r="Q83">
        <v>11921188.91</v>
      </c>
      <c r="R83">
        <v>11537083.140000001</v>
      </c>
      <c r="S83">
        <v>13349070.949999999</v>
      </c>
    </row>
    <row r="84" spans="1:19">
      <c r="A84" t="s">
        <v>53</v>
      </c>
      <c r="B84">
        <v>0</v>
      </c>
      <c r="C84">
        <v>0</v>
      </c>
      <c r="D84">
        <v>0</v>
      </c>
      <c r="E84">
        <v>565.01</v>
      </c>
      <c r="F84">
        <v>590.51</v>
      </c>
      <c r="G84">
        <v>0</v>
      </c>
      <c r="H84">
        <v>0</v>
      </c>
      <c r="I84">
        <v>0</v>
      </c>
      <c r="J84">
        <v>588751.54</v>
      </c>
      <c r="K84">
        <v>0</v>
      </c>
      <c r="L84">
        <v>0</v>
      </c>
      <c r="M84">
        <v>0</v>
      </c>
      <c r="N84">
        <v>1026385.72</v>
      </c>
      <c r="O84">
        <v>2289572.94</v>
      </c>
      <c r="P84">
        <v>10321951.9</v>
      </c>
      <c r="Q84">
        <v>11921188.91</v>
      </c>
      <c r="R84">
        <v>11537083.140000001</v>
      </c>
      <c r="S84">
        <v>13349070.949999999</v>
      </c>
    </row>
    <row r="85" spans="1:19">
      <c r="A85" t="s">
        <v>65</v>
      </c>
      <c r="B85">
        <v>0</v>
      </c>
      <c r="C85">
        <v>0</v>
      </c>
      <c r="D85">
        <v>0</v>
      </c>
      <c r="E85">
        <v>565.01</v>
      </c>
      <c r="F85">
        <v>590.51</v>
      </c>
      <c r="G85">
        <v>0</v>
      </c>
      <c r="H85">
        <v>0</v>
      </c>
      <c r="I85">
        <v>0</v>
      </c>
      <c r="J85">
        <v>588751.54</v>
      </c>
      <c r="K85">
        <v>0</v>
      </c>
      <c r="L85">
        <v>0</v>
      </c>
      <c r="M85">
        <v>0</v>
      </c>
      <c r="N85">
        <v>1026385.72</v>
      </c>
      <c r="O85">
        <v>2289572.94</v>
      </c>
      <c r="P85">
        <v>10321951.9</v>
      </c>
      <c r="Q85">
        <v>11921188.91</v>
      </c>
      <c r="R85">
        <v>11537083.140000001</v>
      </c>
      <c r="S85">
        <v>13349070.949999999</v>
      </c>
    </row>
    <row r="86" spans="1:19">
      <c r="A86" t="s">
        <v>109</v>
      </c>
    </row>
    <row r="87" spans="1:19">
      <c r="A87" t="s">
        <v>110</v>
      </c>
      <c r="B87">
        <v>0</v>
      </c>
      <c r="C87">
        <v>0</v>
      </c>
      <c r="D87">
        <v>0</v>
      </c>
      <c r="E87">
        <v>0</v>
      </c>
      <c r="F87">
        <v>0</v>
      </c>
      <c r="G87">
        <v>0</v>
      </c>
      <c r="H87">
        <v>0</v>
      </c>
      <c r="I87">
        <v>0</v>
      </c>
      <c r="J87">
        <v>0</v>
      </c>
      <c r="K87">
        <v>0</v>
      </c>
      <c r="L87">
        <v>0</v>
      </c>
      <c r="M87">
        <v>0</v>
      </c>
      <c r="N87">
        <v>0</v>
      </c>
      <c r="O87">
        <v>0</v>
      </c>
      <c r="P87">
        <v>0</v>
      </c>
      <c r="Q87">
        <v>0</v>
      </c>
      <c r="R87">
        <v>0</v>
      </c>
      <c r="S87">
        <v>0</v>
      </c>
    </row>
    <row r="88" spans="1:19">
      <c r="A88" t="s">
        <v>112</v>
      </c>
      <c r="B88">
        <v>0</v>
      </c>
      <c r="C88">
        <v>0</v>
      </c>
      <c r="D88">
        <v>0</v>
      </c>
      <c r="E88">
        <v>0</v>
      </c>
      <c r="F88">
        <v>0</v>
      </c>
      <c r="G88">
        <v>0</v>
      </c>
      <c r="H88">
        <v>0</v>
      </c>
      <c r="I88">
        <v>0</v>
      </c>
      <c r="J88">
        <v>0</v>
      </c>
      <c r="K88">
        <v>0</v>
      </c>
      <c r="L88">
        <v>0</v>
      </c>
      <c r="M88">
        <v>0</v>
      </c>
      <c r="N88">
        <v>0</v>
      </c>
      <c r="O88">
        <v>0</v>
      </c>
      <c r="P88">
        <v>0</v>
      </c>
      <c r="Q88">
        <v>0</v>
      </c>
      <c r="R88">
        <v>0</v>
      </c>
      <c r="S88">
        <v>0</v>
      </c>
    </row>
    <row r="89" spans="1:19">
      <c r="A89" t="s">
        <v>113</v>
      </c>
      <c r="B89">
        <v>0</v>
      </c>
      <c r="C89">
        <v>0</v>
      </c>
      <c r="D89">
        <v>0</v>
      </c>
      <c r="E89">
        <v>0</v>
      </c>
      <c r="F89">
        <v>0</v>
      </c>
      <c r="G89">
        <v>0</v>
      </c>
      <c r="H89">
        <v>0</v>
      </c>
      <c r="I89">
        <v>0</v>
      </c>
      <c r="J89">
        <v>0</v>
      </c>
      <c r="K89">
        <v>0</v>
      </c>
      <c r="L89">
        <v>0</v>
      </c>
      <c r="M89">
        <v>0</v>
      </c>
      <c r="N89">
        <v>0</v>
      </c>
      <c r="O89">
        <v>0</v>
      </c>
      <c r="P89">
        <v>0</v>
      </c>
      <c r="Q89">
        <v>0</v>
      </c>
      <c r="R89">
        <v>0</v>
      </c>
      <c r="S89">
        <v>0</v>
      </c>
    </row>
    <row r="90" spans="1:19">
      <c r="A90" t="s">
        <v>114</v>
      </c>
    </row>
    <row r="91" spans="1:19">
      <c r="A91" t="s">
        <v>115</v>
      </c>
      <c r="B91">
        <v>0</v>
      </c>
      <c r="C91">
        <v>0</v>
      </c>
      <c r="D91">
        <v>0</v>
      </c>
      <c r="E91">
        <v>0</v>
      </c>
      <c r="F91">
        <v>0</v>
      </c>
      <c r="G91">
        <v>0</v>
      </c>
      <c r="H91">
        <v>0</v>
      </c>
      <c r="I91">
        <v>0</v>
      </c>
      <c r="J91">
        <v>0</v>
      </c>
      <c r="K91">
        <v>0</v>
      </c>
      <c r="L91">
        <v>0</v>
      </c>
      <c r="M91">
        <v>0</v>
      </c>
      <c r="N91">
        <v>0</v>
      </c>
      <c r="O91">
        <v>0</v>
      </c>
      <c r="P91">
        <v>0</v>
      </c>
      <c r="Q91">
        <v>0</v>
      </c>
      <c r="R91">
        <v>0</v>
      </c>
      <c r="S91">
        <v>0</v>
      </c>
    </row>
    <row r="92" spans="1:19">
      <c r="A92" t="s">
        <v>117</v>
      </c>
      <c r="B92">
        <v>0</v>
      </c>
      <c r="C92">
        <v>0</v>
      </c>
      <c r="D92">
        <v>0</v>
      </c>
      <c r="E92">
        <v>0</v>
      </c>
      <c r="F92">
        <v>0</v>
      </c>
      <c r="G92">
        <v>0</v>
      </c>
      <c r="H92">
        <v>0</v>
      </c>
      <c r="I92">
        <v>0</v>
      </c>
      <c r="J92">
        <v>0</v>
      </c>
      <c r="K92">
        <v>0</v>
      </c>
      <c r="L92">
        <v>0</v>
      </c>
      <c r="M92">
        <v>0</v>
      </c>
      <c r="N92">
        <v>0</v>
      </c>
      <c r="O92">
        <v>0</v>
      </c>
      <c r="P92">
        <v>0</v>
      </c>
      <c r="Q92">
        <v>0</v>
      </c>
      <c r="R92">
        <v>0</v>
      </c>
      <c r="S92">
        <v>0</v>
      </c>
    </row>
    <row r="93" spans="1:19">
      <c r="A93" t="s">
        <v>118</v>
      </c>
      <c r="B93">
        <v>0</v>
      </c>
      <c r="C93">
        <v>0</v>
      </c>
      <c r="D93">
        <v>0</v>
      </c>
      <c r="E93">
        <v>0</v>
      </c>
      <c r="F93">
        <v>0</v>
      </c>
      <c r="G93">
        <v>0</v>
      </c>
      <c r="H93">
        <v>0</v>
      </c>
      <c r="I93">
        <v>0</v>
      </c>
      <c r="J93">
        <v>0</v>
      </c>
      <c r="K93">
        <v>0</v>
      </c>
      <c r="L93">
        <v>0</v>
      </c>
      <c r="M93">
        <v>0</v>
      </c>
      <c r="N93">
        <v>0</v>
      </c>
      <c r="O93">
        <v>0</v>
      </c>
      <c r="P93">
        <v>0</v>
      </c>
      <c r="Q93">
        <v>0</v>
      </c>
      <c r="R93">
        <v>0</v>
      </c>
      <c r="S93">
        <v>0</v>
      </c>
    </row>
    <row r="94" spans="1:19">
      <c r="A94" s="14" t="s">
        <v>50</v>
      </c>
      <c r="B94">
        <v>0</v>
      </c>
      <c r="C94">
        <v>0</v>
      </c>
      <c r="D94">
        <v>0</v>
      </c>
      <c r="E94">
        <v>0</v>
      </c>
      <c r="F94">
        <v>0</v>
      </c>
      <c r="G94">
        <v>0</v>
      </c>
      <c r="H94">
        <v>0</v>
      </c>
      <c r="I94">
        <v>0</v>
      </c>
      <c r="J94">
        <v>0</v>
      </c>
      <c r="K94">
        <v>0</v>
      </c>
      <c r="L94">
        <v>0</v>
      </c>
      <c r="M94">
        <v>0</v>
      </c>
      <c r="N94">
        <v>0</v>
      </c>
      <c r="O94">
        <v>0</v>
      </c>
      <c r="P94">
        <v>0</v>
      </c>
      <c r="Q94">
        <v>0</v>
      </c>
      <c r="R94">
        <v>0</v>
      </c>
      <c r="S94">
        <v>0</v>
      </c>
    </row>
    <row r="95" spans="1:19">
      <c r="A95" t="s">
        <v>119</v>
      </c>
      <c r="B95">
        <v>0</v>
      </c>
      <c r="C95">
        <v>0</v>
      </c>
      <c r="D95">
        <v>0</v>
      </c>
      <c r="E95">
        <v>0</v>
      </c>
      <c r="F95">
        <v>0</v>
      </c>
      <c r="G95">
        <v>0</v>
      </c>
      <c r="H95">
        <v>0</v>
      </c>
      <c r="I95">
        <v>0</v>
      </c>
      <c r="J95">
        <v>0</v>
      </c>
      <c r="K95">
        <v>0</v>
      </c>
      <c r="L95">
        <v>0</v>
      </c>
      <c r="M95">
        <v>0</v>
      </c>
      <c r="N95">
        <v>0</v>
      </c>
      <c r="O95">
        <v>0</v>
      </c>
      <c r="P95">
        <v>0</v>
      </c>
      <c r="Q95">
        <v>0</v>
      </c>
      <c r="R95">
        <v>0</v>
      </c>
      <c r="S95">
        <v>0</v>
      </c>
    </row>
    <row r="96" spans="1:19">
      <c r="A96" t="s">
        <v>51</v>
      </c>
      <c r="B96">
        <v>0.56999999999999995</v>
      </c>
      <c r="C96">
        <v>0.56999999999999995</v>
      </c>
      <c r="D96">
        <v>0.56999999999999995</v>
      </c>
      <c r="E96">
        <v>0.56999999999999995</v>
      </c>
      <c r="F96">
        <v>0.56999999999999995</v>
      </c>
      <c r="G96">
        <v>0.56999999999999995</v>
      </c>
      <c r="H96">
        <v>0.56999999999999995</v>
      </c>
      <c r="I96">
        <v>0.56999999999999995</v>
      </c>
      <c r="J96">
        <v>0.56999999999999995</v>
      </c>
      <c r="K96">
        <v>0.56999999999999995</v>
      </c>
      <c r="L96">
        <v>0.56999999999999995</v>
      </c>
      <c r="M96">
        <v>0.56999999999999995</v>
      </c>
      <c r="N96">
        <v>0.56999999999999995</v>
      </c>
      <c r="O96">
        <v>0.56999999999999995</v>
      </c>
      <c r="P96">
        <v>0.56999999999999995</v>
      </c>
      <c r="Q96">
        <v>0.56999999999999995</v>
      </c>
      <c r="R96">
        <v>0.56999999999999995</v>
      </c>
      <c r="S96">
        <v>0.56999999999999995</v>
      </c>
    </row>
    <row r="97" spans="1:19">
      <c r="A97" t="s">
        <v>53</v>
      </c>
      <c r="B97">
        <v>179.51</v>
      </c>
      <c r="C97">
        <v>179.51</v>
      </c>
      <c r="D97">
        <v>179.51</v>
      </c>
      <c r="E97">
        <v>179.51</v>
      </c>
      <c r="F97">
        <v>179.51</v>
      </c>
      <c r="G97">
        <v>179.51</v>
      </c>
      <c r="H97">
        <v>179.51</v>
      </c>
      <c r="I97">
        <v>179.51</v>
      </c>
      <c r="J97">
        <v>179.51</v>
      </c>
      <c r="K97">
        <v>179.51</v>
      </c>
      <c r="L97">
        <v>179.51</v>
      </c>
      <c r="M97">
        <v>179.51</v>
      </c>
      <c r="N97">
        <v>179.51</v>
      </c>
      <c r="O97">
        <v>179.51</v>
      </c>
      <c r="P97">
        <v>179.51</v>
      </c>
      <c r="Q97">
        <v>179.51</v>
      </c>
      <c r="R97">
        <v>179.51</v>
      </c>
      <c r="S97">
        <v>179.51</v>
      </c>
    </row>
    <row r="98" spans="1:19">
      <c r="A98" t="s">
        <v>55</v>
      </c>
      <c r="B98">
        <v>359.52</v>
      </c>
      <c r="C98">
        <v>359.52</v>
      </c>
      <c r="D98">
        <v>359.52</v>
      </c>
      <c r="E98">
        <v>359.52</v>
      </c>
      <c r="F98">
        <v>359.52</v>
      </c>
      <c r="G98">
        <v>359.52</v>
      </c>
      <c r="H98">
        <v>359.52</v>
      </c>
      <c r="I98">
        <v>359.52</v>
      </c>
      <c r="J98">
        <v>359.52</v>
      </c>
      <c r="K98">
        <v>359.52</v>
      </c>
      <c r="L98">
        <v>359.52</v>
      </c>
      <c r="M98">
        <v>359.52</v>
      </c>
      <c r="N98">
        <v>359.52</v>
      </c>
      <c r="O98">
        <v>359.52</v>
      </c>
      <c r="P98">
        <v>359.52</v>
      </c>
      <c r="Q98">
        <v>359.52</v>
      </c>
      <c r="R98">
        <v>359.52</v>
      </c>
      <c r="S98">
        <v>359.52</v>
      </c>
    </row>
    <row r="99" spans="1:19">
      <c r="A99" t="s">
        <v>123</v>
      </c>
    </row>
    <row r="100" spans="1:19">
      <c r="A100" t="s">
        <v>125</v>
      </c>
    </row>
    <row r="101" spans="1:19">
      <c r="A101" t="s">
        <v>124</v>
      </c>
    </row>
    <row r="102" spans="1:19">
      <c r="A102" t="s">
        <v>30</v>
      </c>
      <c r="B102" s="9"/>
      <c r="C102" s="9"/>
    </row>
    <row r="103" spans="1:19">
      <c r="A103" t="s">
        <v>67</v>
      </c>
      <c r="B103" s="7">
        <v>0.99999930000000004</v>
      </c>
      <c r="C103" s="7">
        <v>0.99999888000000003</v>
      </c>
      <c r="D103" s="9">
        <v>0.99999901999999996</v>
      </c>
      <c r="E103" s="9">
        <v>0.99999866999999998</v>
      </c>
      <c r="F103" s="9">
        <v>0.99999906000000005</v>
      </c>
      <c r="G103" s="9">
        <v>0.99999890000000002</v>
      </c>
      <c r="H103" s="9">
        <v>0.99999921000000003</v>
      </c>
      <c r="I103" s="9">
        <v>0.99999917999999999</v>
      </c>
      <c r="J103" s="9">
        <v>0.99999879000000003</v>
      </c>
      <c r="K103" s="9">
        <v>0.99999932000000002</v>
      </c>
      <c r="L103" s="9">
        <v>0.99999928000000005</v>
      </c>
      <c r="M103" s="9">
        <v>0.99999952000000003</v>
      </c>
      <c r="N103" s="9">
        <v>0.99999910000000003</v>
      </c>
      <c r="O103" s="9">
        <v>0.99999914999999995</v>
      </c>
      <c r="P103" s="9">
        <v>0.99999956000000001</v>
      </c>
      <c r="Q103" s="9">
        <v>0.99999965999999996</v>
      </c>
      <c r="R103" s="9">
        <v>0.99999967999999995</v>
      </c>
      <c r="S103">
        <v>0.99999961000000004</v>
      </c>
    </row>
    <row r="104" spans="1:19">
      <c r="A104" t="s">
        <v>68</v>
      </c>
      <c r="B104" s="9">
        <v>1</v>
      </c>
      <c r="C104" s="9">
        <v>1</v>
      </c>
      <c r="D104" s="9">
        <v>1</v>
      </c>
      <c r="E104" s="9">
        <v>1</v>
      </c>
      <c r="F104" s="9">
        <v>1</v>
      </c>
      <c r="G104" s="9">
        <v>1</v>
      </c>
      <c r="H104" s="9">
        <v>1</v>
      </c>
      <c r="I104" s="9">
        <v>1</v>
      </c>
      <c r="J104" s="9">
        <v>1</v>
      </c>
      <c r="K104" s="9">
        <v>1</v>
      </c>
      <c r="L104" s="9">
        <v>1</v>
      </c>
      <c r="M104" s="7">
        <v>1</v>
      </c>
      <c r="N104" s="7">
        <v>1</v>
      </c>
      <c r="O104" s="7">
        <v>1</v>
      </c>
      <c r="P104" s="7">
        <v>1</v>
      </c>
      <c r="Q104" s="7">
        <v>1</v>
      </c>
      <c r="R104" s="7">
        <v>1</v>
      </c>
      <c r="S104">
        <v>1</v>
      </c>
    </row>
    <row r="105" spans="1:19">
      <c r="A105" t="s">
        <v>69</v>
      </c>
      <c r="B105" s="7">
        <v>39311911.130000003</v>
      </c>
      <c r="C105" s="7">
        <v>39311894.869999997</v>
      </c>
      <c r="D105" s="7">
        <v>39311900.399999999</v>
      </c>
      <c r="E105" s="7">
        <v>39311886.450000003</v>
      </c>
      <c r="F105" s="7">
        <v>39311901.740000002</v>
      </c>
      <c r="G105" s="7">
        <v>39311895.590000004</v>
      </c>
      <c r="H105" s="9">
        <v>39311907.57</v>
      </c>
      <c r="I105" s="9">
        <v>39311906.420000002</v>
      </c>
      <c r="J105" s="7">
        <v>39311891.189999998</v>
      </c>
      <c r="K105" s="7">
        <v>39311912.020000003</v>
      </c>
      <c r="L105" s="7">
        <v>39311910.600000001</v>
      </c>
      <c r="M105">
        <v>39311920.079999998</v>
      </c>
      <c r="N105">
        <v>39311903.270000003</v>
      </c>
      <c r="O105">
        <v>39311905.240000002</v>
      </c>
      <c r="P105">
        <v>39311921.590000004</v>
      </c>
      <c r="Q105">
        <v>39311925.43</v>
      </c>
      <c r="R105">
        <v>39311926.170000002</v>
      </c>
      <c r="S105">
        <v>39311923.420000002</v>
      </c>
    </row>
    <row r="106" spans="1:19">
      <c r="A106" t="s">
        <v>71</v>
      </c>
      <c r="B106" s="7">
        <v>27.65</v>
      </c>
      <c r="C106" s="7">
        <v>43.91</v>
      </c>
      <c r="D106" s="9">
        <v>38.380000000000003</v>
      </c>
      <c r="E106" s="9">
        <v>52.34</v>
      </c>
      <c r="F106" s="9">
        <v>37.04</v>
      </c>
      <c r="G106" s="9">
        <v>43.2</v>
      </c>
      <c r="H106" s="7">
        <v>31.21</v>
      </c>
      <c r="I106" s="9">
        <v>32.36</v>
      </c>
      <c r="J106">
        <v>47.59</v>
      </c>
      <c r="K106">
        <v>26.76</v>
      </c>
      <c r="L106">
        <v>28.18</v>
      </c>
      <c r="M106">
        <v>18.7</v>
      </c>
      <c r="N106">
        <v>35.51</v>
      </c>
      <c r="O106">
        <v>33.549999999999997</v>
      </c>
      <c r="P106">
        <v>17.190000000000001</v>
      </c>
      <c r="Q106">
        <v>13.35</v>
      </c>
      <c r="R106">
        <v>12.61</v>
      </c>
      <c r="S106">
        <v>15.36</v>
      </c>
    </row>
    <row r="107" spans="1:19">
      <c r="A107" t="s">
        <v>72</v>
      </c>
      <c r="B107" s="9"/>
      <c r="C107" s="9"/>
      <c r="D107" s="7"/>
      <c r="E107" s="7"/>
      <c r="F107" s="7"/>
      <c r="G107" s="7"/>
      <c r="I107" s="7"/>
    </row>
    <row r="108" spans="1:19">
      <c r="A108" t="s">
        <v>73</v>
      </c>
      <c r="B108" s="7">
        <v>0.99999930999999997</v>
      </c>
      <c r="C108" s="7">
        <v>0.99999890000000002</v>
      </c>
      <c r="D108" s="9">
        <v>0.99999906000000005</v>
      </c>
      <c r="E108" s="9">
        <v>0.99999870999999996</v>
      </c>
      <c r="F108" s="9">
        <v>0.99999908999999998</v>
      </c>
      <c r="G108" s="9">
        <v>0.99999892000000001</v>
      </c>
      <c r="H108" s="9">
        <v>0.99999923999999996</v>
      </c>
      <c r="I108" s="9">
        <v>0.99999919000000004</v>
      </c>
      <c r="J108" s="9">
        <v>0.99999883000000001</v>
      </c>
      <c r="K108" s="9">
        <v>0.99999934000000001</v>
      </c>
      <c r="L108" s="9">
        <v>0.99999932000000002</v>
      </c>
      <c r="M108" s="9">
        <v>0.99999954999999996</v>
      </c>
      <c r="N108" s="9">
        <v>0.99999914000000001</v>
      </c>
      <c r="O108" s="9">
        <v>0.99999917999999999</v>
      </c>
      <c r="P108" s="9">
        <v>0.99999959000000005</v>
      </c>
      <c r="Q108" s="9">
        <v>0.99999969</v>
      </c>
      <c r="R108" s="9">
        <v>0.99999970000000005</v>
      </c>
      <c r="S108">
        <v>0.99999963999999997</v>
      </c>
    </row>
    <row r="109" spans="1:19">
      <c r="A109" t="s">
        <v>74</v>
      </c>
      <c r="B109" s="9">
        <v>1</v>
      </c>
      <c r="C109" s="9">
        <v>1</v>
      </c>
      <c r="D109" s="9">
        <v>1</v>
      </c>
      <c r="E109" s="9">
        <v>1</v>
      </c>
      <c r="F109" s="9">
        <v>1</v>
      </c>
      <c r="G109" s="9">
        <v>1</v>
      </c>
      <c r="H109" s="9">
        <v>1</v>
      </c>
      <c r="I109" s="9">
        <v>1</v>
      </c>
      <c r="J109" s="9">
        <v>1</v>
      </c>
      <c r="K109" s="9">
        <v>1</v>
      </c>
      <c r="L109" s="9">
        <v>1</v>
      </c>
      <c r="M109" s="7">
        <v>1</v>
      </c>
      <c r="N109" s="7">
        <v>1</v>
      </c>
      <c r="O109" s="7">
        <v>1</v>
      </c>
      <c r="P109" s="7">
        <v>1</v>
      </c>
      <c r="Q109" s="7">
        <v>1</v>
      </c>
      <c r="R109" s="7">
        <v>1</v>
      </c>
      <c r="S109">
        <v>1</v>
      </c>
    </row>
    <row r="110" spans="1:19">
      <c r="A110" t="s">
        <v>75</v>
      </c>
      <c r="B110" s="7">
        <v>39311911.130000003</v>
      </c>
      <c r="C110" s="7">
        <v>39311894.869999997</v>
      </c>
      <c r="D110" s="7">
        <v>39311897.109999999</v>
      </c>
      <c r="E110" s="7">
        <v>39311883.479999997</v>
      </c>
      <c r="F110" s="7">
        <v>39311898.350000001</v>
      </c>
      <c r="G110" s="7">
        <v>39311895.590000004</v>
      </c>
      <c r="H110" s="9">
        <v>39311904.280000001</v>
      </c>
      <c r="I110" s="9">
        <v>39311906.420000002</v>
      </c>
      <c r="J110" s="7">
        <v>39311888.219999999</v>
      </c>
      <c r="K110" s="7">
        <v>39311912.020000003</v>
      </c>
      <c r="L110" s="7">
        <v>39311907.32</v>
      </c>
      <c r="M110">
        <v>39311916.450000003</v>
      </c>
      <c r="N110">
        <v>39311900.299999997</v>
      </c>
      <c r="O110">
        <v>39311902.100000001</v>
      </c>
      <c r="P110">
        <v>39311918.130000003</v>
      </c>
      <c r="Q110">
        <v>39311921.960000001</v>
      </c>
      <c r="R110">
        <v>39311922.359999999</v>
      </c>
      <c r="S110">
        <v>39311919.950000003</v>
      </c>
    </row>
    <row r="111" spans="1:19">
      <c r="A111" t="s">
        <v>76</v>
      </c>
      <c r="B111" s="7">
        <v>27</v>
      </c>
      <c r="C111" s="7">
        <v>43.25</v>
      </c>
      <c r="D111" s="9">
        <v>37.1</v>
      </c>
      <c r="E111" s="9">
        <v>50.74</v>
      </c>
      <c r="F111" s="9">
        <v>35.86</v>
      </c>
      <c r="G111" s="9">
        <v>42.54</v>
      </c>
      <c r="H111" s="7">
        <v>29.93</v>
      </c>
      <c r="I111" s="9">
        <v>31.71</v>
      </c>
      <c r="J111">
        <v>45.99</v>
      </c>
      <c r="K111">
        <v>26.11</v>
      </c>
      <c r="L111">
        <v>26.89</v>
      </c>
      <c r="M111">
        <v>17.760000000000002</v>
      </c>
      <c r="N111">
        <v>33.909999999999997</v>
      </c>
      <c r="O111">
        <v>32.11</v>
      </c>
      <c r="P111">
        <v>16.079999999999998</v>
      </c>
      <c r="Q111">
        <v>12.25</v>
      </c>
      <c r="R111">
        <v>11.85</v>
      </c>
      <c r="S111">
        <v>14.26</v>
      </c>
    </row>
    <row r="112" spans="1:19">
      <c r="A112" t="s">
        <v>126</v>
      </c>
      <c r="B112" s="9"/>
      <c r="C112" s="9"/>
      <c r="D112" s="7"/>
      <c r="E112" s="7"/>
      <c r="F112" s="7"/>
      <c r="G112" s="7"/>
      <c r="I112" s="7"/>
    </row>
    <row r="113" spans="1:19">
      <c r="A113" t="s">
        <v>51</v>
      </c>
      <c r="B113" s="7">
        <v>0.17</v>
      </c>
      <c r="C113" s="7">
        <v>0.17</v>
      </c>
      <c r="D113">
        <v>1.17</v>
      </c>
      <c r="E113">
        <v>1.17</v>
      </c>
      <c r="F113">
        <v>1.17</v>
      </c>
      <c r="G113">
        <v>0.17</v>
      </c>
      <c r="H113">
        <v>1.17</v>
      </c>
      <c r="I113">
        <v>0.17</v>
      </c>
      <c r="J113">
        <v>1.17</v>
      </c>
      <c r="K113">
        <v>0.17</v>
      </c>
      <c r="L113">
        <v>1.17</v>
      </c>
      <c r="M113">
        <v>1.17</v>
      </c>
      <c r="N113">
        <v>1.17</v>
      </c>
      <c r="O113">
        <v>1.17</v>
      </c>
      <c r="P113">
        <v>1.17</v>
      </c>
      <c r="Q113">
        <v>1.17</v>
      </c>
      <c r="R113">
        <v>1.17</v>
      </c>
      <c r="S113">
        <v>1.17</v>
      </c>
    </row>
    <row r="114" spans="1:19">
      <c r="A114" t="s">
        <v>55</v>
      </c>
      <c r="B114">
        <v>0.17</v>
      </c>
      <c r="C114">
        <v>0.17</v>
      </c>
      <c r="D114">
        <v>1.17</v>
      </c>
      <c r="E114">
        <v>1.17</v>
      </c>
      <c r="F114">
        <v>1.17</v>
      </c>
      <c r="G114">
        <v>0.17</v>
      </c>
      <c r="H114">
        <v>1.17</v>
      </c>
      <c r="I114">
        <v>0.17</v>
      </c>
      <c r="J114">
        <v>1.17</v>
      </c>
      <c r="K114">
        <v>0.17</v>
      </c>
      <c r="L114">
        <v>1.17</v>
      </c>
      <c r="M114">
        <v>1.17</v>
      </c>
      <c r="N114">
        <v>1.17</v>
      </c>
      <c r="O114">
        <v>1.17</v>
      </c>
      <c r="P114">
        <v>1.17</v>
      </c>
      <c r="Q114">
        <v>1.17</v>
      </c>
      <c r="R114">
        <v>1.17</v>
      </c>
      <c r="S114">
        <v>1.17</v>
      </c>
    </row>
    <row r="115" spans="1:19">
      <c r="A115" t="s">
        <v>53</v>
      </c>
      <c r="B115">
        <v>0.17</v>
      </c>
      <c r="C115">
        <v>0.17</v>
      </c>
      <c r="D115">
        <v>1.17</v>
      </c>
      <c r="E115">
        <v>1.17</v>
      </c>
      <c r="F115">
        <v>1.17</v>
      </c>
      <c r="G115">
        <v>0.17</v>
      </c>
      <c r="H115">
        <v>1.17</v>
      </c>
      <c r="I115">
        <v>0.17</v>
      </c>
      <c r="J115">
        <v>1.17</v>
      </c>
      <c r="K115">
        <v>0.17</v>
      </c>
      <c r="L115">
        <v>1.17</v>
      </c>
      <c r="M115">
        <v>1.17</v>
      </c>
      <c r="N115">
        <v>1.17</v>
      </c>
      <c r="O115">
        <v>1.17</v>
      </c>
      <c r="P115">
        <v>1.17</v>
      </c>
      <c r="Q115">
        <v>1.17</v>
      </c>
      <c r="R115">
        <v>1.17</v>
      </c>
      <c r="S115">
        <v>1.17</v>
      </c>
    </row>
    <row r="116" spans="1:19">
      <c r="A116" t="s">
        <v>127</v>
      </c>
      <c r="B116" s="7"/>
      <c r="C116" s="7"/>
    </row>
    <row r="117" spans="1:19">
      <c r="A117" t="s">
        <v>51</v>
      </c>
      <c r="B117" s="7">
        <v>0</v>
      </c>
      <c r="C117" s="7">
        <v>0</v>
      </c>
      <c r="D117" s="7">
        <v>0</v>
      </c>
      <c r="E117" s="7">
        <v>0</v>
      </c>
      <c r="F117" s="7">
        <v>0</v>
      </c>
      <c r="G117" s="7">
        <v>0</v>
      </c>
      <c r="H117" s="7">
        <v>0</v>
      </c>
      <c r="I117" s="7">
        <v>0</v>
      </c>
      <c r="J117" s="7">
        <v>0</v>
      </c>
      <c r="K117" s="7">
        <v>0</v>
      </c>
      <c r="L117" s="7">
        <v>0</v>
      </c>
      <c r="M117" s="7">
        <v>0</v>
      </c>
      <c r="N117" s="7">
        <v>0</v>
      </c>
      <c r="O117" s="7">
        <v>0</v>
      </c>
      <c r="P117" s="7">
        <v>0</v>
      </c>
      <c r="Q117" s="7">
        <v>0</v>
      </c>
      <c r="R117" s="7">
        <v>0</v>
      </c>
      <c r="S117">
        <v>0</v>
      </c>
    </row>
    <row r="118" spans="1:19">
      <c r="A118" t="s">
        <v>55</v>
      </c>
      <c r="B118" s="7">
        <v>0</v>
      </c>
      <c r="C118" s="7">
        <v>0.9264</v>
      </c>
      <c r="D118" s="7">
        <v>0.9264</v>
      </c>
      <c r="E118" s="7">
        <v>1</v>
      </c>
      <c r="F118" s="7">
        <v>1</v>
      </c>
      <c r="G118" s="7">
        <v>1</v>
      </c>
      <c r="H118" s="7">
        <v>1</v>
      </c>
      <c r="I118" s="7">
        <v>1</v>
      </c>
      <c r="J118" s="7">
        <v>1</v>
      </c>
      <c r="K118" s="7">
        <v>1</v>
      </c>
      <c r="L118" s="7">
        <v>1</v>
      </c>
      <c r="M118" s="7">
        <v>1</v>
      </c>
      <c r="N118" s="7">
        <v>1</v>
      </c>
      <c r="O118" s="7">
        <v>1</v>
      </c>
      <c r="P118" s="7">
        <v>1</v>
      </c>
      <c r="Q118" s="7">
        <v>1</v>
      </c>
      <c r="R118" s="7">
        <v>1</v>
      </c>
      <c r="S118">
        <v>1</v>
      </c>
    </row>
    <row r="119" spans="1:19">
      <c r="A119" t="s">
        <v>53</v>
      </c>
      <c r="B119" s="7">
        <v>0</v>
      </c>
      <c r="C119" s="7">
        <v>7.9500000000000001E-2</v>
      </c>
      <c r="D119" s="7">
        <v>7.9500000000000001E-2</v>
      </c>
      <c r="E119" s="7">
        <v>0.1867</v>
      </c>
      <c r="F119" s="7">
        <v>0.1852</v>
      </c>
      <c r="G119" s="7">
        <v>0.1552</v>
      </c>
      <c r="H119" s="7">
        <v>0.1552</v>
      </c>
      <c r="I119" s="7">
        <v>0.2079</v>
      </c>
      <c r="J119" s="7">
        <v>0.3735</v>
      </c>
      <c r="K119" s="7">
        <v>0.26819999999999999</v>
      </c>
      <c r="L119" s="7">
        <v>0.26819999999999999</v>
      </c>
      <c r="M119" s="9">
        <v>0.26819999999999999</v>
      </c>
      <c r="N119" s="9">
        <v>0.41670000000000001</v>
      </c>
      <c r="O119" s="9">
        <v>0.54990000000000006</v>
      </c>
      <c r="P119" s="9">
        <v>0.74460000000000004</v>
      </c>
      <c r="Q119" s="9">
        <v>0.77700000000000002</v>
      </c>
      <c r="R119" s="9">
        <v>0.75939999999999996</v>
      </c>
      <c r="S119">
        <v>0.78859999999999997</v>
      </c>
    </row>
    <row r="120" spans="1:19">
      <c r="A120" t="s">
        <v>128</v>
      </c>
      <c r="B120" s="7"/>
      <c r="C120" s="7"/>
      <c r="D120" s="7"/>
      <c r="E120" s="7"/>
      <c r="F120" s="7"/>
      <c r="G120" s="7"/>
      <c r="H120" s="7"/>
      <c r="I120" s="7"/>
      <c r="J120" s="9"/>
      <c r="K120" s="9"/>
      <c r="L120" s="9"/>
    </row>
    <row r="121" spans="1:19">
      <c r="A121" t="s">
        <v>129</v>
      </c>
      <c r="B121" s="7">
        <v>0</v>
      </c>
      <c r="C121" s="7">
        <v>0</v>
      </c>
      <c r="D121" s="7">
        <v>0</v>
      </c>
      <c r="E121" s="7">
        <v>0</v>
      </c>
      <c r="F121" s="7">
        <v>0</v>
      </c>
      <c r="G121" s="7">
        <v>0</v>
      </c>
      <c r="H121" s="9">
        <v>0</v>
      </c>
      <c r="I121" s="7">
        <v>0</v>
      </c>
      <c r="J121" s="7">
        <v>0</v>
      </c>
      <c r="K121" s="7">
        <v>0</v>
      </c>
      <c r="L121" s="7">
        <v>0</v>
      </c>
      <c r="M121" s="7">
        <v>0</v>
      </c>
      <c r="N121" s="7">
        <v>0</v>
      </c>
      <c r="O121" s="7">
        <v>0</v>
      </c>
      <c r="P121" s="7">
        <v>0</v>
      </c>
      <c r="Q121" s="7">
        <v>0</v>
      </c>
      <c r="R121" s="7">
        <v>0</v>
      </c>
      <c r="S121">
        <v>0</v>
      </c>
    </row>
    <row r="122" spans="1:19">
      <c r="A122" t="s">
        <v>130</v>
      </c>
      <c r="B122" s="7">
        <v>0</v>
      </c>
      <c r="C122" s="7">
        <v>0.50900000000000001</v>
      </c>
      <c r="D122" s="9">
        <v>0.50900000000000001</v>
      </c>
      <c r="E122" s="9">
        <v>7.3899999999999993E-2</v>
      </c>
      <c r="F122" s="9">
        <v>8.3400000000000002E-2</v>
      </c>
      <c r="G122" s="9">
        <v>0.50900000000000001</v>
      </c>
      <c r="H122" s="7">
        <v>0.50900000000000001</v>
      </c>
      <c r="I122" s="9">
        <v>0.50900000000000001</v>
      </c>
      <c r="J122" s="7">
        <v>3.5200000000000002E-2</v>
      </c>
      <c r="K122" s="7">
        <v>0.50900000000000001</v>
      </c>
      <c r="L122" s="7">
        <v>0.50900000000000001</v>
      </c>
      <c r="M122" s="9">
        <v>0.50900000000000001</v>
      </c>
      <c r="N122" s="9">
        <v>4.6399999999999997E-2</v>
      </c>
      <c r="O122" s="9">
        <v>4.4299999999999999E-2</v>
      </c>
      <c r="P122" s="9">
        <v>5.0700000000000002E-2</v>
      </c>
      <c r="Q122" s="9">
        <v>3.8100000000000002E-2</v>
      </c>
      <c r="R122" s="9">
        <v>5.0999999999999997E-2</v>
      </c>
      <c r="S122">
        <v>4.24E-2</v>
      </c>
    </row>
    <row r="123" spans="1:19">
      <c r="A123" t="s">
        <v>131</v>
      </c>
      <c r="B123" s="7">
        <v>0</v>
      </c>
      <c r="C123" s="7">
        <v>0.36399999999999999</v>
      </c>
      <c r="D123" s="9">
        <v>0.36399999999999999</v>
      </c>
      <c r="E123" s="9">
        <v>0.61539999999999995</v>
      </c>
      <c r="F123" s="9">
        <v>0.60740000000000005</v>
      </c>
      <c r="G123" s="9">
        <v>0.26989999999999997</v>
      </c>
      <c r="H123" s="7">
        <v>0.26989999999999997</v>
      </c>
      <c r="I123" s="7">
        <v>0.21920000000000001</v>
      </c>
      <c r="J123" s="9">
        <v>0.41920000000000002</v>
      </c>
      <c r="K123" s="9">
        <v>0.16689999999999999</v>
      </c>
      <c r="L123" s="9">
        <v>0.16689999999999999</v>
      </c>
      <c r="M123" s="9">
        <v>0.16689999999999999</v>
      </c>
      <c r="N123" s="9">
        <v>0.38579999999999998</v>
      </c>
      <c r="O123" s="7">
        <v>0.17730000000000001</v>
      </c>
      <c r="P123" s="9">
        <v>0.1176</v>
      </c>
      <c r="Q123" s="9">
        <v>0.10299999999999999</v>
      </c>
      <c r="R123" s="9">
        <v>0.1084</v>
      </c>
      <c r="S123">
        <v>9.5799999999999996E-2</v>
      </c>
    </row>
    <row r="124" spans="1:19">
      <c r="A124" t="s">
        <v>132</v>
      </c>
      <c r="B124" s="7">
        <v>0</v>
      </c>
      <c r="C124" s="7">
        <v>0.1016</v>
      </c>
      <c r="D124" s="7">
        <v>0.1016</v>
      </c>
      <c r="E124" s="7">
        <v>0.30070000000000002</v>
      </c>
      <c r="F124" s="7">
        <v>0.2989</v>
      </c>
      <c r="G124" s="7">
        <v>9.4100000000000003E-2</v>
      </c>
      <c r="H124" s="9">
        <v>9.4100000000000003E-2</v>
      </c>
      <c r="I124" s="7">
        <v>8.6900000000000005E-2</v>
      </c>
      <c r="J124" s="9">
        <v>0.2863</v>
      </c>
      <c r="K124" s="7">
        <v>7.7299999999999994E-2</v>
      </c>
      <c r="L124" s="9">
        <v>7.7299999999999994E-2</v>
      </c>
      <c r="M124" s="9">
        <v>7.7299999999999994E-2</v>
      </c>
      <c r="N124" s="9">
        <v>0.25240000000000001</v>
      </c>
      <c r="O124" s="9">
        <v>0.25259999999999999</v>
      </c>
      <c r="P124" s="9">
        <v>7.6399999999999996E-2</v>
      </c>
      <c r="Q124" s="9">
        <v>6.9500000000000006E-2</v>
      </c>
      <c r="R124" s="9">
        <v>7.0199999999999999E-2</v>
      </c>
      <c r="S124">
        <v>6.1100000000000002E-2</v>
      </c>
    </row>
    <row r="125" spans="1:19">
      <c r="A125" t="s">
        <v>133</v>
      </c>
      <c r="B125" s="7">
        <v>0</v>
      </c>
      <c r="C125" s="7">
        <v>2.47E-2</v>
      </c>
      <c r="D125" s="9">
        <v>2.47E-2</v>
      </c>
      <c r="E125" s="9">
        <v>9.7000000000000003E-3</v>
      </c>
      <c r="F125" s="9">
        <v>0.01</v>
      </c>
      <c r="G125" s="9">
        <v>6.3399999999999998E-2</v>
      </c>
      <c r="H125" s="9">
        <v>6.3399999999999998E-2</v>
      </c>
      <c r="I125" s="9">
        <v>5.8000000000000003E-2</v>
      </c>
      <c r="J125" s="9">
        <v>8.5599999999999996E-2</v>
      </c>
      <c r="K125" s="9">
        <v>4.7800000000000002E-2</v>
      </c>
      <c r="L125" s="9">
        <v>4.7800000000000002E-2</v>
      </c>
      <c r="M125" s="9">
        <v>4.7800000000000002E-2</v>
      </c>
      <c r="N125" s="9">
        <v>7.8200000000000006E-2</v>
      </c>
      <c r="O125" s="9">
        <v>0.20330000000000001</v>
      </c>
      <c r="P125" s="9">
        <v>9.74E-2</v>
      </c>
      <c r="Q125" s="9">
        <v>9.2499999999999999E-2</v>
      </c>
      <c r="R125" s="9">
        <v>9.1399999999999995E-2</v>
      </c>
      <c r="S125">
        <v>8.4400000000000003E-2</v>
      </c>
    </row>
    <row r="126" spans="1:19">
      <c r="A126" t="s">
        <v>134</v>
      </c>
      <c r="B126" s="7">
        <v>0</v>
      </c>
      <c r="C126" s="7">
        <v>6.9999999999999999E-4</v>
      </c>
      <c r="D126" s="9">
        <v>6.9999999999999999E-4</v>
      </c>
      <c r="E126" s="9">
        <v>2.9999999999999997E-4</v>
      </c>
      <c r="F126" s="9">
        <v>2.9999999999999997E-4</v>
      </c>
      <c r="G126" s="9">
        <v>6.3500000000000001E-2</v>
      </c>
      <c r="H126" s="9">
        <v>6.3500000000000001E-2</v>
      </c>
      <c r="I126" s="9">
        <v>0.12690000000000001</v>
      </c>
      <c r="J126" s="9">
        <v>0.17369999999999999</v>
      </c>
      <c r="K126" s="9">
        <v>0.19900000000000001</v>
      </c>
      <c r="L126" s="9">
        <v>0.19900000000000001</v>
      </c>
      <c r="M126" s="9">
        <v>0.19900000000000001</v>
      </c>
      <c r="N126" s="9">
        <v>0.23730000000000001</v>
      </c>
      <c r="O126" s="9">
        <v>0.32250000000000001</v>
      </c>
      <c r="P126" s="9">
        <v>0.65790000000000004</v>
      </c>
      <c r="Q126" s="9">
        <v>0.69689999999999996</v>
      </c>
      <c r="R126" s="9">
        <v>0.67900000000000005</v>
      </c>
      <c r="S126">
        <v>0.71619999999999995</v>
      </c>
    </row>
    <row r="127" spans="1:19">
      <c r="A127" t="s">
        <v>135</v>
      </c>
      <c r="B127" s="7">
        <v>0</v>
      </c>
      <c r="C127" s="7">
        <v>0</v>
      </c>
      <c r="D127" s="9">
        <v>0</v>
      </c>
      <c r="E127" s="9">
        <v>0</v>
      </c>
      <c r="F127" s="9">
        <v>0</v>
      </c>
      <c r="G127" s="9">
        <v>0</v>
      </c>
      <c r="H127" s="9">
        <v>0</v>
      </c>
      <c r="I127" s="9">
        <v>0</v>
      </c>
      <c r="J127" s="9">
        <v>0</v>
      </c>
      <c r="K127" s="9">
        <v>0</v>
      </c>
      <c r="L127" s="9">
        <v>0</v>
      </c>
      <c r="M127" s="7">
        <v>0</v>
      </c>
      <c r="N127" s="7">
        <v>0</v>
      </c>
      <c r="O127" s="7">
        <v>0</v>
      </c>
      <c r="P127" s="7">
        <v>0</v>
      </c>
      <c r="Q127" s="7">
        <v>0</v>
      </c>
      <c r="R127" s="7">
        <v>0</v>
      </c>
      <c r="S127">
        <v>0</v>
      </c>
    </row>
    <row r="128" spans="1:19">
      <c r="A128" t="s">
        <v>136</v>
      </c>
      <c r="B128" s="7">
        <v>0</v>
      </c>
      <c r="C128" s="7">
        <v>0</v>
      </c>
      <c r="D128" s="9">
        <v>0</v>
      </c>
      <c r="E128" s="9">
        <v>0</v>
      </c>
      <c r="F128" s="9">
        <v>0</v>
      </c>
      <c r="G128" s="9">
        <v>0</v>
      </c>
      <c r="H128" s="9">
        <v>0</v>
      </c>
      <c r="I128" s="9">
        <v>0</v>
      </c>
      <c r="J128" s="7">
        <v>0</v>
      </c>
      <c r="K128" s="7">
        <v>0</v>
      </c>
      <c r="L128" s="7">
        <v>0</v>
      </c>
      <c r="M128" s="7">
        <v>0</v>
      </c>
      <c r="N128" s="7">
        <v>0</v>
      </c>
      <c r="O128" s="7">
        <v>0</v>
      </c>
      <c r="P128" s="7">
        <v>0</v>
      </c>
      <c r="Q128" s="7">
        <v>0</v>
      </c>
      <c r="R128" s="7">
        <v>0</v>
      </c>
      <c r="S128">
        <v>0</v>
      </c>
    </row>
    <row r="129" spans="1:19">
      <c r="A129" t="s">
        <v>137</v>
      </c>
      <c r="B129" s="7">
        <v>0</v>
      </c>
      <c r="C129" s="7">
        <v>0</v>
      </c>
      <c r="D129" s="9">
        <v>0</v>
      </c>
      <c r="E129" s="9">
        <v>0</v>
      </c>
      <c r="F129" s="9">
        <v>0</v>
      </c>
      <c r="G129" s="9">
        <v>0</v>
      </c>
      <c r="H129" s="7">
        <v>0</v>
      </c>
      <c r="I129" s="9">
        <v>0</v>
      </c>
      <c r="J129" s="7">
        <v>0</v>
      </c>
      <c r="K129" s="7">
        <v>0</v>
      </c>
      <c r="L129" s="7">
        <v>0</v>
      </c>
      <c r="M129" s="7">
        <v>0</v>
      </c>
      <c r="N129" s="7">
        <v>0</v>
      </c>
      <c r="O129" s="7">
        <v>0</v>
      </c>
      <c r="P129" s="7">
        <v>0</v>
      </c>
      <c r="Q129" s="7">
        <v>0</v>
      </c>
      <c r="R129" s="7">
        <v>0</v>
      </c>
      <c r="S129">
        <v>0</v>
      </c>
    </row>
    <row r="130" spans="1:19">
      <c r="A130" t="s">
        <v>138</v>
      </c>
      <c r="B130" s="7">
        <v>0</v>
      </c>
      <c r="C130" s="7">
        <v>0</v>
      </c>
      <c r="D130" s="7">
        <v>0</v>
      </c>
      <c r="E130" s="7">
        <v>0</v>
      </c>
      <c r="F130" s="7">
        <v>0</v>
      </c>
      <c r="G130" s="7">
        <v>0</v>
      </c>
      <c r="H130" s="7">
        <v>0</v>
      </c>
      <c r="I130" s="7">
        <v>0</v>
      </c>
      <c r="J130" s="7">
        <v>0</v>
      </c>
      <c r="K130" s="7">
        <v>0</v>
      </c>
      <c r="L130" s="7">
        <v>0</v>
      </c>
      <c r="M130" s="7">
        <v>0</v>
      </c>
      <c r="N130" s="7">
        <v>0</v>
      </c>
      <c r="O130" s="7">
        <v>0</v>
      </c>
      <c r="P130" s="7">
        <v>0</v>
      </c>
      <c r="Q130" s="7">
        <v>0</v>
      </c>
      <c r="R130" s="7">
        <v>0</v>
      </c>
      <c r="S130">
        <v>0</v>
      </c>
    </row>
    <row r="131" spans="1:19">
      <c r="A131" t="s">
        <v>139</v>
      </c>
      <c r="B131" s="7">
        <v>0</v>
      </c>
      <c r="C131" s="7">
        <v>0</v>
      </c>
      <c r="D131" s="7">
        <v>0</v>
      </c>
      <c r="E131" s="7">
        <v>0</v>
      </c>
      <c r="F131" s="7">
        <v>0</v>
      </c>
      <c r="G131" s="7">
        <v>0</v>
      </c>
      <c r="H131" s="7">
        <v>0</v>
      </c>
      <c r="I131" s="7">
        <v>0</v>
      </c>
      <c r="J131" s="7">
        <v>0</v>
      </c>
      <c r="K131" s="7">
        <v>0</v>
      </c>
      <c r="L131" s="7">
        <v>0</v>
      </c>
      <c r="M131" s="7">
        <v>0</v>
      </c>
      <c r="N131" s="7">
        <v>0</v>
      </c>
      <c r="O131" s="7">
        <v>0</v>
      </c>
      <c r="P131" s="7">
        <v>0</v>
      </c>
      <c r="Q131" s="7">
        <v>0</v>
      </c>
      <c r="R131" s="7">
        <v>0</v>
      </c>
      <c r="S131">
        <v>0</v>
      </c>
    </row>
    <row r="132" spans="1:19">
      <c r="A132" t="s">
        <v>140</v>
      </c>
      <c r="B132" s="7"/>
      <c r="C132" s="7"/>
      <c r="D132" s="7"/>
      <c r="E132" s="7"/>
      <c r="F132" s="7"/>
      <c r="G132" s="7"/>
      <c r="H132" s="7"/>
      <c r="I132" s="7"/>
      <c r="J132" s="7"/>
      <c r="K132" s="7"/>
      <c r="L132" s="7"/>
    </row>
    <row r="133" spans="1:19">
      <c r="A133" t="s">
        <v>51</v>
      </c>
      <c r="B133" s="7">
        <v>2923330.04</v>
      </c>
      <c r="C133" s="7">
        <v>2783636.29</v>
      </c>
      <c r="D133" s="7">
        <v>2782813.66</v>
      </c>
      <c r="E133" s="7">
        <v>2467399.0499999998</v>
      </c>
      <c r="F133" s="7">
        <v>2472519.2799999998</v>
      </c>
      <c r="G133" s="7">
        <v>2628529.5299999998</v>
      </c>
      <c r="H133" s="7">
        <v>2627077.2799999998</v>
      </c>
      <c r="I133" s="7">
        <v>2505055.83</v>
      </c>
      <c r="J133">
        <v>2071840.37</v>
      </c>
      <c r="K133">
        <v>2354984.2999999998</v>
      </c>
      <c r="L133">
        <v>2353821.54</v>
      </c>
      <c r="M133">
        <v>2353197.0499999998</v>
      </c>
      <c r="N133">
        <v>1956358.93</v>
      </c>
      <c r="O133">
        <v>1609589.98</v>
      </c>
      <c r="P133">
        <v>910594.37</v>
      </c>
      <c r="Q133">
        <v>820564.25</v>
      </c>
      <c r="R133">
        <v>870992.6</v>
      </c>
      <c r="S133">
        <v>788321.14</v>
      </c>
    </row>
    <row r="134" spans="1:19">
      <c r="A134" t="s">
        <v>55</v>
      </c>
      <c r="B134" s="7">
        <v>2923330.04</v>
      </c>
      <c r="C134" s="7">
        <v>2783636.29</v>
      </c>
      <c r="D134" s="7">
        <v>2782813.66</v>
      </c>
      <c r="E134" s="7">
        <v>2467399.0499999998</v>
      </c>
      <c r="F134" s="7">
        <v>2472519.2799999998</v>
      </c>
      <c r="G134" s="7">
        <v>2628529.5299999998</v>
      </c>
      <c r="H134">
        <v>2627077.2799999998</v>
      </c>
      <c r="I134" s="7">
        <v>2505055.83</v>
      </c>
      <c r="J134">
        <v>2071840.37</v>
      </c>
      <c r="K134">
        <v>2354984.2999999998</v>
      </c>
      <c r="L134">
        <v>2353821.54</v>
      </c>
      <c r="M134">
        <v>2353197.0499999998</v>
      </c>
      <c r="N134">
        <v>1956358.93</v>
      </c>
      <c r="O134">
        <v>1609589.98</v>
      </c>
      <c r="P134">
        <v>910594.37</v>
      </c>
      <c r="Q134">
        <v>820564.25</v>
      </c>
      <c r="R134">
        <v>870992.6</v>
      </c>
      <c r="S134">
        <v>788321.14</v>
      </c>
    </row>
    <row r="135" spans="1:19">
      <c r="A135" t="s">
        <v>53</v>
      </c>
      <c r="B135" s="7">
        <v>2923330.04</v>
      </c>
      <c r="C135" s="7">
        <v>2783636.29</v>
      </c>
      <c r="D135">
        <v>2782813.66</v>
      </c>
      <c r="E135">
        <v>2467399.0499999998</v>
      </c>
      <c r="F135">
        <v>2472519.2799999998</v>
      </c>
      <c r="G135">
        <v>2628529.5299999998</v>
      </c>
      <c r="H135">
        <v>2627077.2799999998</v>
      </c>
      <c r="I135">
        <v>2505055.83</v>
      </c>
      <c r="J135">
        <v>2071840.37</v>
      </c>
      <c r="K135">
        <v>2354984.2999999998</v>
      </c>
      <c r="L135">
        <v>2353821.54</v>
      </c>
      <c r="M135">
        <v>2353197.0499999998</v>
      </c>
      <c r="N135">
        <v>1956358.93</v>
      </c>
      <c r="O135">
        <v>1609589.98</v>
      </c>
      <c r="P135">
        <v>910594.37</v>
      </c>
      <c r="Q135">
        <v>820564.25</v>
      </c>
      <c r="R135">
        <v>870992.6</v>
      </c>
      <c r="S135">
        <v>788321.14</v>
      </c>
    </row>
    <row r="136" spans="1:19">
      <c r="A136" t="s">
        <v>141</v>
      </c>
    </row>
    <row r="137" spans="1:19">
      <c r="A137" t="s">
        <v>51</v>
      </c>
      <c r="B137" t="s">
        <v>142</v>
      </c>
      <c r="C137" t="s">
        <v>142</v>
      </c>
      <c r="D137" t="s">
        <v>142</v>
      </c>
      <c r="E137" t="s">
        <v>142</v>
      </c>
      <c r="F137" t="s">
        <v>142</v>
      </c>
      <c r="G137" t="s">
        <v>142</v>
      </c>
      <c r="H137" t="s">
        <v>142</v>
      </c>
      <c r="I137" t="s">
        <v>142</v>
      </c>
      <c r="J137" t="s">
        <v>142</v>
      </c>
      <c r="K137" t="s">
        <v>142</v>
      </c>
      <c r="L137" t="s">
        <v>142</v>
      </c>
      <c r="M137" t="s">
        <v>142</v>
      </c>
      <c r="N137" t="s">
        <v>142</v>
      </c>
      <c r="O137" t="s">
        <v>142</v>
      </c>
      <c r="P137" t="s">
        <v>142</v>
      </c>
      <c r="Q137" t="s">
        <v>142</v>
      </c>
      <c r="R137" t="s">
        <v>142</v>
      </c>
      <c r="S137" t="s">
        <v>142</v>
      </c>
    </row>
    <row r="138" spans="1:19">
      <c r="A138" t="s">
        <v>55</v>
      </c>
      <c r="B138" t="s">
        <v>142</v>
      </c>
      <c r="C138" t="s">
        <v>142</v>
      </c>
      <c r="D138" t="s">
        <v>142</v>
      </c>
      <c r="E138" t="s">
        <v>142</v>
      </c>
      <c r="F138" t="s">
        <v>142</v>
      </c>
      <c r="G138" t="s">
        <v>142</v>
      </c>
      <c r="H138" t="s">
        <v>142</v>
      </c>
      <c r="I138" t="s">
        <v>142</v>
      </c>
      <c r="J138" t="s">
        <v>142</v>
      </c>
      <c r="K138" t="s">
        <v>142</v>
      </c>
      <c r="L138" t="s">
        <v>142</v>
      </c>
      <c r="M138" t="s">
        <v>142</v>
      </c>
      <c r="N138" t="s">
        <v>142</v>
      </c>
      <c r="O138" t="s">
        <v>142</v>
      </c>
      <c r="P138" t="s">
        <v>142</v>
      </c>
      <c r="Q138" t="s">
        <v>142</v>
      </c>
      <c r="R138" t="s">
        <v>142</v>
      </c>
      <c r="S138" t="s">
        <v>142</v>
      </c>
    </row>
    <row r="139" spans="1:19">
      <c r="A139" t="s">
        <v>53</v>
      </c>
      <c r="B139" t="s">
        <v>142</v>
      </c>
      <c r="C139" t="s">
        <v>142</v>
      </c>
      <c r="D139" t="s">
        <v>142</v>
      </c>
      <c r="E139" t="s">
        <v>142</v>
      </c>
      <c r="F139" t="s">
        <v>142</v>
      </c>
      <c r="G139" t="s">
        <v>142</v>
      </c>
      <c r="H139" t="s">
        <v>142</v>
      </c>
      <c r="I139" t="s">
        <v>142</v>
      </c>
      <c r="J139" t="s">
        <v>142</v>
      </c>
      <c r="K139" t="s">
        <v>142</v>
      </c>
      <c r="L139" t="s">
        <v>142</v>
      </c>
      <c r="M139" t="s">
        <v>142</v>
      </c>
      <c r="N139" t="s">
        <v>142</v>
      </c>
      <c r="O139" t="s">
        <v>142</v>
      </c>
      <c r="P139" t="s">
        <v>142</v>
      </c>
      <c r="Q139" t="s">
        <v>142</v>
      </c>
      <c r="R139" t="s">
        <v>142</v>
      </c>
      <c r="S139" t="s">
        <v>142</v>
      </c>
    </row>
    <row r="140" spans="1:19">
      <c r="A140" t="s">
        <v>143</v>
      </c>
      <c r="B140" s="9"/>
      <c r="C140" s="9"/>
    </row>
    <row r="141" spans="1:19">
      <c r="A141" t="s">
        <v>51</v>
      </c>
      <c r="B141" s="7">
        <v>6.25E-2</v>
      </c>
      <c r="C141" s="7">
        <v>6.25E-2</v>
      </c>
      <c r="D141" s="9">
        <v>4.9299999999999997E-2</v>
      </c>
      <c r="E141" s="9">
        <v>6.7299999999999999E-2</v>
      </c>
      <c r="F141" s="7">
        <v>6.7299999999999999E-2</v>
      </c>
      <c r="G141" s="7">
        <v>0</v>
      </c>
      <c r="H141" s="7">
        <v>6.25E-2</v>
      </c>
      <c r="I141" s="7">
        <v>0</v>
      </c>
      <c r="J141" s="7">
        <v>0</v>
      </c>
      <c r="K141" s="7">
        <v>0</v>
      </c>
      <c r="L141" s="7">
        <v>0</v>
      </c>
      <c r="M141" s="7">
        <v>0</v>
      </c>
      <c r="N141" s="7">
        <v>0</v>
      </c>
      <c r="O141" s="7">
        <v>0</v>
      </c>
      <c r="P141" s="7">
        <v>0</v>
      </c>
      <c r="Q141" s="7">
        <v>0</v>
      </c>
      <c r="R141" s="7">
        <v>0</v>
      </c>
      <c r="S141">
        <v>0</v>
      </c>
    </row>
    <row r="142" spans="1:19">
      <c r="A142" t="s">
        <v>55</v>
      </c>
      <c r="B142" s="9">
        <v>1</v>
      </c>
      <c r="C142" s="9">
        <v>1</v>
      </c>
      <c r="D142" s="9">
        <v>1</v>
      </c>
      <c r="E142" s="7">
        <v>1</v>
      </c>
      <c r="F142" s="7">
        <v>1</v>
      </c>
      <c r="G142" s="7">
        <v>1</v>
      </c>
      <c r="H142" s="7">
        <v>1</v>
      </c>
      <c r="I142" s="7">
        <v>1</v>
      </c>
      <c r="J142" s="7">
        <v>1</v>
      </c>
      <c r="K142" s="7">
        <v>1</v>
      </c>
      <c r="L142" s="7">
        <v>1</v>
      </c>
      <c r="M142" s="7">
        <v>1</v>
      </c>
      <c r="N142" s="7">
        <v>1</v>
      </c>
      <c r="O142" s="7">
        <v>1</v>
      </c>
      <c r="P142" s="7">
        <v>1</v>
      </c>
      <c r="Q142" s="7">
        <v>1</v>
      </c>
      <c r="R142" s="7">
        <v>1</v>
      </c>
      <c r="S142">
        <v>1</v>
      </c>
    </row>
    <row r="143" spans="1:19">
      <c r="A143" t="s">
        <v>53</v>
      </c>
      <c r="B143" s="7">
        <v>0.40289999999999998</v>
      </c>
      <c r="C143" s="7">
        <v>0.43659999999999999</v>
      </c>
      <c r="D143" s="7">
        <v>0.43559999999999999</v>
      </c>
      <c r="E143" s="7">
        <v>0.47770000000000001</v>
      </c>
      <c r="F143" s="7">
        <v>0.4768</v>
      </c>
      <c r="G143" s="7">
        <v>0.48039999999999999</v>
      </c>
      <c r="H143" s="7">
        <v>0.47860000000000003</v>
      </c>
      <c r="I143" s="7">
        <v>0.51049999999999995</v>
      </c>
      <c r="J143" s="7">
        <v>0.59609999999999996</v>
      </c>
      <c r="K143" s="7">
        <v>0.54790000000000005</v>
      </c>
      <c r="L143" s="7">
        <v>0.54690000000000005</v>
      </c>
      <c r="M143" s="9">
        <v>0.54610000000000003</v>
      </c>
      <c r="N143" s="9">
        <v>0.62290000000000001</v>
      </c>
      <c r="O143" s="9">
        <v>0.71940000000000004</v>
      </c>
      <c r="P143" s="9">
        <v>0.84319999999999995</v>
      </c>
      <c r="Q143" s="9">
        <v>0.86250000000000004</v>
      </c>
      <c r="R143" s="9">
        <v>0.85129999999999995</v>
      </c>
      <c r="S143">
        <v>0.86890000000000001</v>
      </c>
    </row>
    <row r="144" spans="1:19">
      <c r="A144" t="s">
        <v>128</v>
      </c>
      <c r="B144" s="9"/>
      <c r="C144" s="9"/>
      <c r="D144" s="9"/>
      <c r="E144" s="9"/>
      <c r="F144" s="7"/>
      <c r="G144" s="7"/>
      <c r="H144" s="7"/>
      <c r="I144" s="7"/>
      <c r="J144" s="9"/>
      <c r="K144" s="9"/>
      <c r="L144" s="9"/>
    </row>
    <row r="145" spans="1:19">
      <c r="A145" t="s">
        <v>129</v>
      </c>
      <c r="B145" s="9">
        <v>0</v>
      </c>
      <c r="C145" s="9">
        <v>0</v>
      </c>
      <c r="D145" s="7">
        <v>0</v>
      </c>
      <c r="E145" s="7">
        <v>0</v>
      </c>
      <c r="F145" s="7">
        <v>0</v>
      </c>
      <c r="G145" s="7">
        <v>0</v>
      </c>
      <c r="H145" s="9">
        <v>0</v>
      </c>
      <c r="I145" s="7">
        <v>0</v>
      </c>
      <c r="J145" s="7">
        <v>0</v>
      </c>
      <c r="K145" s="7">
        <v>0</v>
      </c>
      <c r="L145" s="7">
        <v>0</v>
      </c>
      <c r="M145" s="7">
        <v>0</v>
      </c>
      <c r="N145" s="7">
        <v>0</v>
      </c>
      <c r="O145" s="7">
        <v>0</v>
      </c>
      <c r="P145" s="7">
        <v>0</v>
      </c>
      <c r="Q145" s="7">
        <v>0</v>
      </c>
      <c r="R145" s="7">
        <v>0</v>
      </c>
      <c r="S145">
        <v>0</v>
      </c>
    </row>
    <row r="146" spans="1:19">
      <c r="A146" t="s">
        <v>130</v>
      </c>
      <c r="B146" s="7">
        <v>0</v>
      </c>
      <c r="C146" s="7">
        <v>0</v>
      </c>
      <c r="D146" s="9">
        <v>0</v>
      </c>
      <c r="E146" s="9">
        <v>0</v>
      </c>
      <c r="F146" s="9">
        <v>0</v>
      </c>
      <c r="G146" s="9">
        <v>0</v>
      </c>
      <c r="H146" s="7">
        <v>0</v>
      </c>
      <c r="I146" s="9">
        <v>1E-4</v>
      </c>
      <c r="J146" s="7">
        <v>1E-4</v>
      </c>
      <c r="K146" s="7">
        <v>2.0000000000000001E-4</v>
      </c>
      <c r="L146" s="7">
        <v>1E-4</v>
      </c>
      <c r="M146" s="9">
        <v>1E-4</v>
      </c>
      <c r="N146" s="9">
        <v>1E-4</v>
      </c>
      <c r="O146" s="9">
        <v>2.9999999999999997E-4</v>
      </c>
      <c r="P146" s="9">
        <v>2.0000000000000001E-4</v>
      </c>
      <c r="Q146" s="9">
        <v>5.0000000000000001E-4</v>
      </c>
      <c r="R146" s="9">
        <v>5.9999999999999995E-4</v>
      </c>
      <c r="S146">
        <v>8.9999999999999998E-4</v>
      </c>
    </row>
    <row r="147" spans="1:19">
      <c r="A147" t="s">
        <v>144</v>
      </c>
      <c r="B147" s="9">
        <v>0</v>
      </c>
      <c r="C147" s="9">
        <v>0</v>
      </c>
      <c r="D147" s="7">
        <v>0</v>
      </c>
      <c r="E147" s="7">
        <v>0</v>
      </c>
      <c r="F147" s="9">
        <v>0</v>
      </c>
      <c r="G147" s="9">
        <v>0</v>
      </c>
      <c r="H147" s="7">
        <v>0</v>
      </c>
      <c r="I147" s="7">
        <v>0</v>
      </c>
      <c r="J147" s="9">
        <v>0</v>
      </c>
      <c r="K147" s="9">
        <v>0</v>
      </c>
      <c r="L147" s="9">
        <v>0</v>
      </c>
      <c r="M147" s="7">
        <v>0</v>
      </c>
      <c r="N147" s="7">
        <v>0</v>
      </c>
      <c r="O147" s="7">
        <v>0</v>
      </c>
      <c r="P147" s="7">
        <v>0</v>
      </c>
      <c r="Q147" s="7">
        <v>0</v>
      </c>
      <c r="R147" s="7">
        <v>0</v>
      </c>
      <c r="S147">
        <v>0</v>
      </c>
    </row>
    <row r="148" spans="1:19">
      <c r="A148" t="s">
        <v>145</v>
      </c>
      <c r="B148" s="9">
        <v>5.0000000000000001E-4</v>
      </c>
      <c r="C148" s="9">
        <v>5.9999999999999995E-4</v>
      </c>
      <c r="D148" s="7">
        <v>5.0000000000000001E-4</v>
      </c>
      <c r="E148" s="7">
        <v>1E-4</v>
      </c>
      <c r="F148" s="7">
        <v>1E-4</v>
      </c>
      <c r="G148" s="7">
        <v>5.9999999999999995E-4</v>
      </c>
      <c r="H148" s="9">
        <v>5.0000000000000001E-4</v>
      </c>
      <c r="I148" s="7">
        <v>5.0000000000000001E-4</v>
      </c>
      <c r="J148" s="7">
        <v>1E-4</v>
      </c>
      <c r="K148" s="7">
        <v>4.0000000000000002E-4</v>
      </c>
      <c r="L148" s="7">
        <v>4.0000000000000002E-4</v>
      </c>
      <c r="M148" s="9">
        <v>4.0000000000000002E-4</v>
      </c>
      <c r="N148" s="7">
        <v>1E-4</v>
      </c>
      <c r="O148" s="7">
        <v>1E-4</v>
      </c>
      <c r="P148" s="7">
        <v>1E-4</v>
      </c>
      <c r="Q148" s="7">
        <v>0</v>
      </c>
      <c r="R148" s="7">
        <v>1E-4</v>
      </c>
      <c r="S148">
        <v>1E-4</v>
      </c>
    </row>
    <row r="149" spans="1:19">
      <c r="A149" t="s">
        <v>146</v>
      </c>
      <c r="B149" s="7">
        <v>3.5999999999999999E-3</v>
      </c>
      <c r="C149" s="7">
        <v>3.7000000000000002E-3</v>
      </c>
      <c r="D149" s="7">
        <v>3.7000000000000002E-3</v>
      </c>
      <c r="E149" s="7">
        <v>1.4E-3</v>
      </c>
      <c r="F149" s="7">
        <v>1.5E-3</v>
      </c>
      <c r="G149" s="7">
        <v>3.3999999999999998E-3</v>
      </c>
      <c r="H149" s="7">
        <v>3.3999999999999998E-3</v>
      </c>
      <c r="I149" s="9">
        <v>3.3999999999999998E-3</v>
      </c>
      <c r="J149" s="9">
        <v>1.1999999999999999E-3</v>
      </c>
      <c r="K149" s="7">
        <v>3.2000000000000002E-3</v>
      </c>
      <c r="L149" s="9">
        <v>3.0999999999999999E-3</v>
      </c>
      <c r="M149" s="9">
        <v>3.0999999999999999E-3</v>
      </c>
      <c r="N149" s="9">
        <v>1.1000000000000001E-3</v>
      </c>
      <c r="O149" s="9">
        <v>5.9999999999999995E-4</v>
      </c>
      <c r="P149" s="9">
        <v>4.0000000000000002E-4</v>
      </c>
      <c r="Q149" s="9">
        <v>2.9999999999999997E-4</v>
      </c>
      <c r="R149" s="9">
        <v>4.0000000000000002E-4</v>
      </c>
      <c r="S149">
        <v>4.0000000000000002E-4</v>
      </c>
    </row>
    <row r="150" spans="1:19">
      <c r="A150" t="s">
        <v>147</v>
      </c>
      <c r="B150" s="7">
        <v>2.63E-2</v>
      </c>
      <c r="C150" s="7">
        <v>2.81E-2</v>
      </c>
      <c r="D150" s="7">
        <v>2.8000000000000001E-2</v>
      </c>
      <c r="E150" s="7">
        <v>1.15E-2</v>
      </c>
      <c r="F150" s="7">
        <v>1.1900000000000001E-2</v>
      </c>
      <c r="G150" s="7">
        <v>2.58E-2</v>
      </c>
      <c r="H150" s="7">
        <v>2.5700000000000001E-2</v>
      </c>
      <c r="I150" s="7">
        <v>2.4400000000000002E-2</v>
      </c>
      <c r="J150" s="9">
        <v>8.0000000000000002E-3</v>
      </c>
      <c r="K150" s="9">
        <v>2.23E-2</v>
      </c>
      <c r="L150" s="9">
        <v>2.1899999999999999E-2</v>
      </c>
      <c r="M150" s="9">
        <v>2.1999999999999999E-2</v>
      </c>
      <c r="N150" s="9">
        <v>7.7000000000000002E-3</v>
      </c>
      <c r="O150" s="9">
        <v>3.5999999999999999E-3</v>
      </c>
      <c r="P150" s="9">
        <v>3.0000000000000001E-3</v>
      </c>
      <c r="Q150" s="9">
        <v>2.2000000000000001E-3</v>
      </c>
      <c r="R150" s="9">
        <v>2.7000000000000001E-3</v>
      </c>
      <c r="S150">
        <v>2.3999999999999998E-3</v>
      </c>
    </row>
    <row r="151" spans="1:19">
      <c r="A151" t="s">
        <v>131</v>
      </c>
      <c r="B151" s="9">
        <v>6.1600000000000002E-2</v>
      </c>
      <c r="C151" s="9">
        <v>5.8999999999999997E-2</v>
      </c>
      <c r="D151" s="9">
        <v>5.8799999999999998E-2</v>
      </c>
      <c r="E151" s="9">
        <v>2.7400000000000001E-2</v>
      </c>
      <c r="F151" s="9">
        <v>2.8500000000000001E-2</v>
      </c>
      <c r="G151" s="9">
        <v>5.3699999999999998E-2</v>
      </c>
      <c r="H151" s="9">
        <v>5.4199999999999998E-2</v>
      </c>
      <c r="I151" s="9">
        <v>5.0999999999999997E-2</v>
      </c>
      <c r="J151" s="9">
        <v>2.12E-2</v>
      </c>
      <c r="K151" s="9">
        <v>4.7600000000000003E-2</v>
      </c>
      <c r="L151" s="9">
        <v>4.8000000000000001E-2</v>
      </c>
      <c r="M151" s="9">
        <v>4.82E-2</v>
      </c>
      <c r="N151" s="9">
        <v>0.02</v>
      </c>
      <c r="O151" s="9">
        <v>1.06E-2</v>
      </c>
      <c r="P151" s="9">
        <v>7.6E-3</v>
      </c>
      <c r="Q151" s="9">
        <v>6.1999999999999998E-3</v>
      </c>
      <c r="R151" s="9">
        <v>7.4000000000000003E-3</v>
      </c>
      <c r="S151">
        <v>6.1000000000000004E-3</v>
      </c>
    </row>
    <row r="152" spans="1:19">
      <c r="A152" t="s">
        <v>148</v>
      </c>
      <c r="B152" s="9">
        <v>0.1033</v>
      </c>
      <c r="C152" s="9">
        <v>9.4799999999999995E-2</v>
      </c>
      <c r="D152" s="9">
        <v>9.5100000000000004E-2</v>
      </c>
      <c r="E152" s="9">
        <v>4.9599999999999998E-2</v>
      </c>
      <c r="F152" s="9">
        <v>5.0999999999999997E-2</v>
      </c>
      <c r="G152" s="9">
        <v>8.5400000000000004E-2</v>
      </c>
      <c r="H152" s="9">
        <v>8.6800000000000002E-2</v>
      </c>
      <c r="I152" s="9">
        <v>8.09E-2</v>
      </c>
      <c r="J152" s="9">
        <v>3.7900000000000003E-2</v>
      </c>
      <c r="K152" s="9">
        <v>7.4399999999999994E-2</v>
      </c>
      <c r="L152" s="9">
        <v>7.5700000000000003E-2</v>
      </c>
      <c r="M152" s="9">
        <v>7.5800000000000006E-2</v>
      </c>
      <c r="N152" s="9">
        <v>3.6799999999999999E-2</v>
      </c>
      <c r="O152" s="9">
        <v>1.9599999999999999E-2</v>
      </c>
      <c r="P152" s="9">
        <v>1.6400000000000001E-2</v>
      </c>
      <c r="Q152" s="9">
        <v>1.43E-2</v>
      </c>
      <c r="R152" s="9">
        <v>1.6500000000000001E-2</v>
      </c>
      <c r="S152">
        <v>1.38E-2</v>
      </c>
    </row>
    <row r="153" spans="1:19">
      <c r="A153" t="s">
        <v>149</v>
      </c>
      <c r="B153" s="9">
        <v>0.27029999999999998</v>
      </c>
      <c r="C153" s="9">
        <v>0.23180000000000001</v>
      </c>
      <c r="D153" s="9">
        <v>0.23480000000000001</v>
      </c>
      <c r="E153" s="9">
        <v>0.1661</v>
      </c>
      <c r="F153" s="9">
        <v>0.16669999999999999</v>
      </c>
      <c r="G153" s="9">
        <v>0.21640000000000001</v>
      </c>
      <c r="H153" s="9">
        <v>0.2203</v>
      </c>
      <c r="I153" s="9">
        <v>0.20480000000000001</v>
      </c>
      <c r="J153" s="9">
        <v>0.1163</v>
      </c>
      <c r="K153" s="9">
        <v>0.19389999999999999</v>
      </c>
      <c r="L153" s="9">
        <v>0.1961</v>
      </c>
      <c r="M153" s="9">
        <v>0.1978</v>
      </c>
      <c r="N153" s="9">
        <v>0.1148</v>
      </c>
      <c r="O153" s="9">
        <v>5.6099999999999997E-2</v>
      </c>
      <c r="P153" s="9">
        <v>4.36E-2</v>
      </c>
      <c r="Q153" s="9">
        <v>3.6499999999999998E-2</v>
      </c>
      <c r="R153" s="9">
        <v>4.2900000000000001E-2</v>
      </c>
      <c r="S153">
        <v>3.61E-2</v>
      </c>
    </row>
    <row r="154" spans="1:19">
      <c r="A154" t="s">
        <v>132</v>
      </c>
      <c r="B154" s="9">
        <v>0.3337</v>
      </c>
      <c r="C154" s="9">
        <v>0.26369999999999999</v>
      </c>
      <c r="D154" s="9">
        <v>0.26479999999999998</v>
      </c>
      <c r="E154" s="9">
        <v>0.29520000000000002</v>
      </c>
      <c r="F154" s="9">
        <v>0.29409999999999997</v>
      </c>
      <c r="G154" s="9">
        <v>0.2399</v>
      </c>
      <c r="H154" s="9">
        <v>0.2394</v>
      </c>
      <c r="I154" s="9">
        <v>0.23080000000000001</v>
      </c>
      <c r="J154" s="9">
        <v>0.1895</v>
      </c>
      <c r="K154" s="9">
        <v>0.2137</v>
      </c>
      <c r="L154" s="9">
        <v>0.214</v>
      </c>
      <c r="M154" s="9">
        <v>0.21490000000000001</v>
      </c>
      <c r="N154" s="9">
        <v>0.1794</v>
      </c>
      <c r="O154" s="9">
        <v>8.3500000000000005E-2</v>
      </c>
      <c r="P154" s="9">
        <v>5.6000000000000001E-2</v>
      </c>
      <c r="Q154" s="9">
        <v>4.6899999999999997E-2</v>
      </c>
      <c r="R154" s="9">
        <v>5.1999999999999998E-2</v>
      </c>
      <c r="S154">
        <v>4.7E-2</v>
      </c>
    </row>
    <row r="155" spans="1:19">
      <c r="A155" t="s">
        <v>133</v>
      </c>
      <c r="B155" s="9">
        <v>0.20050000000000001</v>
      </c>
      <c r="C155" s="9">
        <v>0.29349999999999998</v>
      </c>
      <c r="D155" s="9">
        <v>0.2903</v>
      </c>
      <c r="E155" s="9">
        <v>0.43709999999999999</v>
      </c>
      <c r="F155" s="9">
        <v>0.43440000000000001</v>
      </c>
      <c r="G155" s="9">
        <v>0.25750000000000001</v>
      </c>
      <c r="H155" s="9">
        <v>0.25340000000000001</v>
      </c>
      <c r="I155" s="9">
        <v>0.23119999999999999</v>
      </c>
      <c r="J155" s="9">
        <v>0.39140000000000003</v>
      </c>
      <c r="K155" s="9">
        <v>0.20849999999999999</v>
      </c>
      <c r="L155" s="9">
        <v>0.2051</v>
      </c>
      <c r="M155" s="9">
        <v>0.20250000000000001</v>
      </c>
      <c r="N155" s="9">
        <v>0.35</v>
      </c>
      <c r="O155" s="9">
        <v>0.38400000000000001</v>
      </c>
      <c r="P155" s="9">
        <v>0.14199999999999999</v>
      </c>
      <c r="Q155" s="9">
        <v>0.12839999999999999</v>
      </c>
      <c r="R155" s="9">
        <v>0.13159999999999999</v>
      </c>
      <c r="S155">
        <v>0.1171</v>
      </c>
    </row>
    <row r="156" spans="1:19">
      <c r="A156" t="s">
        <v>134</v>
      </c>
      <c r="B156" s="9">
        <v>2.0000000000000001E-4</v>
      </c>
      <c r="C156" s="9">
        <v>2.4799999999999999E-2</v>
      </c>
      <c r="D156" s="9">
        <v>2.3900000000000001E-2</v>
      </c>
      <c r="E156" s="9">
        <v>1.1599999999999999E-2</v>
      </c>
      <c r="F156" s="9">
        <v>1.18E-2</v>
      </c>
      <c r="G156" s="9">
        <v>0.1174</v>
      </c>
      <c r="H156" s="9">
        <v>0.1163</v>
      </c>
      <c r="I156" s="9">
        <v>0.17280000000000001</v>
      </c>
      <c r="J156" s="9">
        <v>0.23419999999999999</v>
      </c>
      <c r="K156" s="9">
        <v>0.23580000000000001</v>
      </c>
      <c r="L156" s="9">
        <v>0.23549999999999999</v>
      </c>
      <c r="M156" s="9">
        <v>0.23499999999999999</v>
      </c>
      <c r="N156" s="9">
        <v>0.28989999999999999</v>
      </c>
      <c r="O156" s="9">
        <v>0.44169999999999998</v>
      </c>
      <c r="P156" s="9">
        <v>0.73070000000000002</v>
      </c>
      <c r="Q156" s="9">
        <v>0.76470000000000005</v>
      </c>
      <c r="R156" s="9">
        <v>0.74580000000000002</v>
      </c>
      <c r="S156">
        <v>0.7762</v>
      </c>
    </row>
    <row r="157" spans="1:19">
      <c r="A157" t="s">
        <v>139</v>
      </c>
      <c r="B157" s="9">
        <v>0</v>
      </c>
      <c r="C157" s="9">
        <v>0</v>
      </c>
      <c r="D157" s="9">
        <v>0</v>
      </c>
      <c r="E157" s="9">
        <v>0</v>
      </c>
      <c r="F157" s="9">
        <v>0</v>
      </c>
      <c r="G157" s="9">
        <v>0</v>
      </c>
      <c r="H157" s="9">
        <v>0</v>
      </c>
      <c r="I157" s="9">
        <v>0</v>
      </c>
      <c r="J157" s="9">
        <v>0</v>
      </c>
      <c r="K157" s="9">
        <v>0</v>
      </c>
      <c r="L157" s="9">
        <v>0</v>
      </c>
      <c r="M157" s="7">
        <v>0</v>
      </c>
      <c r="N157" s="7">
        <v>0</v>
      </c>
      <c r="O157" s="7">
        <v>0</v>
      </c>
      <c r="P157" s="7">
        <v>0</v>
      </c>
      <c r="Q157" s="7">
        <v>0</v>
      </c>
      <c r="R157" s="7">
        <v>0</v>
      </c>
      <c r="S157">
        <v>0</v>
      </c>
    </row>
    <row r="158" spans="1:19">
      <c r="B158" s="9"/>
      <c r="C158" s="9"/>
      <c r="D158" s="9"/>
      <c r="E158" s="9"/>
      <c r="F158" s="9"/>
      <c r="G158" s="9"/>
      <c r="H158" s="9"/>
      <c r="I158" s="9"/>
      <c r="J158" s="9"/>
      <c r="K158" s="9"/>
      <c r="L158" s="9"/>
      <c r="M158" s="7"/>
      <c r="N158" s="7"/>
      <c r="O158" s="7"/>
      <c r="P158" s="7"/>
      <c r="Q158" s="7"/>
      <c r="R158" s="7"/>
    </row>
    <row r="159" spans="1:19">
      <c r="A159" s="14" t="s">
        <v>261</v>
      </c>
      <c r="B159" s="9"/>
      <c r="C159" s="9"/>
      <c r="D159" s="9"/>
      <c r="E159" s="9"/>
      <c r="F159" s="9"/>
      <c r="G159" s="9"/>
      <c r="H159" s="9"/>
      <c r="I159" s="9"/>
      <c r="J159" s="9"/>
      <c r="K159" s="9"/>
      <c r="L159" s="9"/>
      <c r="M159" s="7"/>
      <c r="N159" s="7"/>
      <c r="O159" s="7"/>
      <c r="P159" s="7"/>
      <c r="Q159" s="7"/>
      <c r="R159" s="7"/>
    </row>
    <row r="160" spans="1:19">
      <c r="A160" t="s">
        <v>316</v>
      </c>
      <c r="B160" s="5">
        <f>B165/25</f>
        <v>3235.3176000000003</v>
      </c>
      <c r="C160" s="5">
        <f t="shared" ref="C160:O160" si="16">C165/25</f>
        <v>3719.6540000000005</v>
      </c>
      <c r="D160" s="5">
        <f t="shared" si="16"/>
        <v>3755.2528000000002</v>
      </c>
      <c r="E160" s="5">
        <f t="shared" si="16"/>
        <v>3633.53</v>
      </c>
      <c r="F160" s="5">
        <f t="shared" si="16"/>
        <v>3684.636</v>
      </c>
      <c r="G160" s="5">
        <f t="shared" si="16"/>
        <v>3610.1212</v>
      </c>
      <c r="H160" s="5">
        <f t="shared" si="16"/>
        <v>3649.8215999999998</v>
      </c>
      <c r="I160" s="5">
        <f t="shared" si="16"/>
        <v>3681.3608000000004</v>
      </c>
      <c r="J160" s="5">
        <f t="shared" si="16"/>
        <v>3067.6124</v>
      </c>
      <c r="K160" s="5">
        <f t="shared" si="16"/>
        <v>3504.3188</v>
      </c>
      <c r="L160" s="5">
        <f t="shared" si="16"/>
        <v>3516.3516</v>
      </c>
      <c r="M160" s="5">
        <f t="shared" si="16"/>
        <v>3555.8596000000002</v>
      </c>
      <c r="N160" s="5">
        <f t="shared" si="16"/>
        <v>3004.1352000000002</v>
      </c>
      <c r="O160" s="5">
        <f t="shared" si="16"/>
        <v>3088.6511999999998</v>
      </c>
      <c r="P160" s="5">
        <f t="shared" ref="P160:S164" si="17">P165/25</f>
        <v>3285.0347999999999</v>
      </c>
      <c r="Q160" s="5">
        <f t="shared" si="17"/>
        <v>3251.6247999999996</v>
      </c>
      <c r="R160" s="5">
        <f t="shared" si="17"/>
        <v>3256.2808</v>
      </c>
      <c r="S160" s="5">
        <f t="shared" si="17"/>
        <v>3262.9692</v>
      </c>
    </row>
    <row r="161" spans="1:19">
      <c r="A161" t="s">
        <v>317</v>
      </c>
      <c r="B161" s="5">
        <f t="shared" ref="B161:O164" si="18">B166/25</f>
        <v>6904.6819999999998</v>
      </c>
      <c r="C161" s="5">
        <f t="shared" si="18"/>
        <v>6252.5212000000001</v>
      </c>
      <c r="D161" s="5">
        <f t="shared" si="18"/>
        <v>6491.1616000000004</v>
      </c>
      <c r="E161" s="5">
        <f t="shared" si="18"/>
        <v>6361.0119999999997</v>
      </c>
      <c r="F161" s="5">
        <f t="shared" si="18"/>
        <v>6504.6280000000006</v>
      </c>
      <c r="G161" s="5">
        <f t="shared" si="18"/>
        <v>6480.3487999999998</v>
      </c>
      <c r="H161" s="5">
        <f t="shared" si="18"/>
        <v>6258.3159999999998</v>
      </c>
      <c r="I161" s="5">
        <f t="shared" si="18"/>
        <v>6187.5340000000006</v>
      </c>
      <c r="J161" s="5">
        <f t="shared" si="18"/>
        <v>6606.3240000000005</v>
      </c>
      <c r="K161" s="5">
        <f t="shared" si="18"/>
        <v>6315.49</v>
      </c>
      <c r="L161" s="5">
        <f t="shared" si="18"/>
        <v>6295.4459999999999</v>
      </c>
      <c r="M161" s="5">
        <f t="shared" si="18"/>
        <v>6350.0212000000001</v>
      </c>
      <c r="N161" s="5">
        <f t="shared" si="18"/>
        <v>6359.0771999999997</v>
      </c>
      <c r="O161" s="5">
        <f t="shared" si="18"/>
        <v>5426.3011999999999</v>
      </c>
      <c r="P161" s="5">
        <f t="shared" si="17"/>
        <v>5250.9168000000009</v>
      </c>
      <c r="Q161" s="5">
        <f t="shared" si="17"/>
        <v>5345.3743999999997</v>
      </c>
      <c r="R161" s="5">
        <f t="shared" si="17"/>
        <v>5363.8904000000002</v>
      </c>
      <c r="S161" s="5">
        <f t="shared" si="17"/>
        <v>5308.3231999999998</v>
      </c>
    </row>
    <row r="162" spans="1:19">
      <c r="A162" t="s">
        <v>318</v>
      </c>
      <c r="B162" s="5">
        <f t="shared" si="18"/>
        <v>842.35320000000002</v>
      </c>
      <c r="C162" s="5">
        <f t="shared" si="18"/>
        <v>288.97919999999999</v>
      </c>
      <c r="D162" s="5">
        <f t="shared" si="18"/>
        <v>281.90120000000002</v>
      </c>
      <c r="E162" s="5">
        <f t="shared" si="18"/>
        <v>295.05959999999999</v>
      </c>
      <c r="F162" s="5">
        <f t="shared" si="18"/>
        <v>230.25119999999998</v>
      </c>
      <c r="G162" s="5">
        <f t="shared" si="18"/>
        <v>481.02319999999997</v>
      </c>
      <c r="H162" s="5">
        <f t="shared" si="18"/>
        <v>448.84280000000001</v>
      </c>
      <c r="I162" s="5">
        <f t="shared" si="18"/>
        <v>380.12440000000004</v>
      </c>
      <c r="J162" s="5">
        <f t="shared" si="18"/>
        <v>367.07760000000002</v>
      </c>
      <c r="K162" s="5">
        <f t="shared" si="18"/>
        <v>397.30160000000001</v>
      </c>
      <c r="L162" s="5">
        <f t="shared" si="18"/>
        <v>538.89559999999994</v>
      </c>
      <c r="M162" s="5">
        <f t="shared" si="18"/>
        <v>479.2088</v>
      </c>
      <c r="N162" s="5">
        <f t="shared" si="18"/>
        <v>449.11440000000005</v>
      </c>
      <c r="O162" s="5">
        <f t="shared" si="18"/>
        <v>1078.4204</v>
      </c>
      <c r="P162" s="5">
        <f t="shared" si="17"/>
        <v>1010.2775999999999</v>
      </c>
      <c r="Q162" s="5">
        <f t="shared" si="17"/>
        <v>978.13479999999993</v>
      </c>
      <c r="R162" s="5">
        <f t="shared" si="17"/>
        <v>1043.8996</v>
      </c>
      <c r="S162" s="5">
        <f t="shared" si="17"/>
        <v>1045.1712</v>
      </c>
    </row>
    <row r="163" spans="1:19">
      <c r="A163" t="s">
        <v>319</v>
      </c>
      <c r="B163" s="5">
        <f t="shared" si="18"/>
        <v>6.0039999999999996</v>
      </c>
      <c r="C163" s="5">
        <f t="shared" si="18"/>
        <v>0.50759999999999994</v>
      </c>
      <c r="D163" s="5">
        <f t="shared" si="18"/>
        <v>16.075199999999999</v>
      </c>
      <c r="E163" s="5">
        <f t="shared" si="18"/>
        <v>4.6580000000000004</v>
      </c>
      <c r="F163" s="5">
        <f t="shared" si="18"/>
        <v>8.8000000000000005E-3</v>
      </c>
      <c r="G163" s="5">
        <f t="shared" si="18"/>
        <v>3.6151999999999997</v>
      </c>
      <c r="H163" s="5">
        <f t="shared" si="18"/>
        <v>7.0548000000000002</v>
      </c>
      <c r="I163" s="5">
        <f t="shared" si="18"/>
        <v>9.6196000000000002</v>
      </c>
      <c r="J163" s="5">
        <f t="shared" si="18"/>
        <v>3.1751999999999998</v>
      </c>
      <c r="K163" s="5">
        <f t="shared" si="18"/>
        <v>0.01</v>
      </c>
      <c r="L163" s="5">
        <f t="shared" si="18"/>
        <v>9.9763999999999999</v>
      </c>
      <c r="M163" s="5">
        <f t="shared" si="18"/>
        <v>0.01</v>
      </c>
      <c r="N163" s="5">
        <f t="shared" si="18"/>
        <v>3.4304000000000001</v>
      </c>
      <c r="O163" s="5">
        <f t="shared" si="18"/>
        <v>20.2316</v>
      </c>
      <c r="P163" s="5">
        <f t="shared" si="17"/>
        <v>31.023600000000002</v>
      </c>
      <c r="Q163" s="5">
        <f t="shared" si="17"/>
        <v>12.805199999999999</v>
      </c>
      <c r="R163" s="5">
        <f t="shared" si="17"/>
        <v>39.616799999999998</v>
      </c>
      <c r="S163" s="5">
        <f t="shared" si="17"/>
        <v>14.7896</v>
      </c>
    </row>
    <row r="164" spans="1:19">
      <c r="A164" t="s">
        <v>266</v>
      </c>
      <c r="B164" s="5">
        <f t="shared" si="18"/>
        <v>10988.3568</v>
      </c>
      <c r="C164" s="5">
        <f t="shared" si="18"/>
        <v>10261.662</v>
      </c>
      <c r="D164" s="5">
        <f t="shared" si="18"/>
        <v>10544.390800000001</v>
      </c>
      <c r="E164" s="5">
        <f t="shared" si="18"/>
        <v>10294.259599999999</v>
      </c>
      <c r="F164" s="5">
        <f t="shared" si="18"/>
        <v>10419.523999999999</v>
      </c>
      <c r="G164" s="5">
        <f t="shared" si="18"/>
        <v>10575.108400000001</v>
      </c>
      <c r="H164" s="5">
        <f t="shared" si="18"/>
        <v>10364.0352</v>
      </c>
      <c r="I164" s="5">
        <f t="shared" si="18"/>
        <v>10258.638799999999</v>
      </c>
      <c r="J164" s="5">
        <f t="shared" si="18"/>
        <v>10044.189200000001</v>
      </c>
      <c r="K164" s="5">
        <f t="shared" si="18"/>
        <v>10217.1204</v>
      </c>
      <c r="L164" s="5">
        <f t="shared" si="18"/>
        <v>10360.669600000001</v>
      </c>
      <c r="M164" s="5">
        <f t="shared" si="18"/>
        <v>10385.099600000001</v>
      </c>
      <c r="N164" s="5">
        <f t="shared" si="18"/>
        <v>9815.7572</v>
      </c>
      <c r="O164" s="5">
        <f t="shared" si="18"/>
        <v>9613.6044000000002</v>
      </c>
      <c r="P164" s="5">
        <f t="shared" si="17"/>
        <v>9577.2528000000002</v>
      </c>
      <c r="Q164" s="5">
        <f t="shared" si="17"/>
        <v>9587.9391999999989</v>
      </c>
      <c r="R164" s="5">
        <f t="shared" si="17"/>
        <v>9703.6876000000011</v>
      </c>
      <c r="S164" s="5">
        <f t="shared" si="17"/>
        <v>9631.2531999999992</v>
      </c>
    </row>
    <row r="165" spans="1:19">
      <c r="A165" t="s">
        <v>262</v>
      </c>
      <c r="B165" s="5">
        <v>80882.94</v>
      </c>
      <c r="C165" s="5">
        <v>92991.35</v>
      </c>
      <c r="D165" s="5">
        <v>93881.32</v>
      </c>
      <c r="E165" s="5">
        <v>90838.25</v>
      </c>
      <c r="F165" s="5">
        <v>92115.9</v>
      </c>
      <c r="G165" s="5">
        <v>90253.03</v>
      </c>
      <c r="H165" s="5">
        <v>91245.54</v>
      </c>
      <c r="I165" s="5">
        <v>92034.02</v>
      </c>
      <c r="J165" s="5">
        <v>76690.31</v>
      </c>
      <c r="K165" s="5">
        <v>87607.97</v>
      </c>
      <c r="L165" s="5">
        <v>87908.79</v>
      </c>
      <c r="M165" s="5">
        <v>88896.49</v>
      </c>
      <c r="N165" s="5">
        <v>75103.38</v>
      </c>
      <c r="O165" s="5">
        <v>77216.28</v>
      </c>
      <c r="P165" s="5">
        <v>82125.87</v>
      </c>
      <c r="Q165" s="5">
        <v>81290.62</v>
      </c>
      <c r="R165" s="5">
        <v>81407.02</v>
      </c>
      <c r="S165" s="5">
        <v>81574.23</v>
      </c>
    </row>
    <row r="166" spans="1:19">
      <c r="A166" t="s">
        <v>263</v>
      </c>
      <c r="B166" s="5">
        <v>172617.05</v>
      </c>
      <c r="C166" s="5">
        <v>156313.03</v>
      </c>
      <c r="D166" s="5">
        <v>162279.04000000001</v>
      </c>
      <c r="E166" s="5">
        <v>159025.29999999999</v>
      </c>
      <c r="F166" s="5">
        <v>162615.70000000001</v>
      </c>
      <c r="G166" s="5">
        <v>162008.72</v>
      </c>
      <c r="H166" s="5">
        <v>156457.9</v>
      </c>
      <c r="I166" s="5">
        <v>154688.35</v>
      </c>
      <c r="J166" s="5">
        <v>165158.1</v>
      </c>
      <c r="K166" s="5">
        <v>157887.25</v>
      </c>
      <c r="L166" s="5">
        <v>157386.15</v>
      </c>
      <c r="M166" s="5">
        <v>158750.53</v>
      </c>
      <c r="N166" s="5">
        <v>158976.93</v>
      </c>
      <c r="O166" s="5">
        <v>135657.53</v>
      </c>
      <c r="P166" s="5">
        <v>131272.92000000001</v>
      </c>
      <c r="Q166" s="5">
        <v>133634.35999999999</v>
      </c>
      <c r="R166" s="5">
        <v>134097.26</v>
      </c>
      <c r="S166" s="5">
        <v>132708.07999999999</v>
      </c>
    </row>
    <row r="167" spans="1:19">
      <c r="A167" t="s">
        <v>264</v>
      </c>
      <c r="B167" s="5">
        <v>21058.83</v>
      </c>
      <c r="C167" s="5">
        <v>7224.48</v>
      </c>
      <c r="D167" s="5">
        <v>7047.53</v>
      </c>
      <c r="E167" s="5">
        <v>7376.49</v>
      </c>
      <c r="F167" s="5">
        <v>5756.28</v>
      </c>
      <c r="G167" s="5">
        <v>12025.58</v>
      </c>
      <c r="H167" s="5">
        <v>11221.07</v>
      </c>
      <c r="I167" s="5">
        <v>9503.11</v>
      </c>
      <c r="J167" s="5">
        <v>9176.94</v>
      </c>
      <c r="K167" s="5">
        <v>9932.5400000000009</v>
      </c>
      <c r="L167" s="5">
        <v>13472.39</v>
      </c>
      <c r="M167" s="5">
        <v>11980.22</v>
      </c>
      <c r="N167" s="5">
        <v>11227.86</v>
      </c>
      <c r="O167" s="5">
        <v>26960.51</v>
      </c>
      <c r="P167" s="5">
        <v>25256.94</v>
      </c>
      <c r="Q167" s="5">
        <v>24453.37</v>
      </c>
      <c r="R167" s="5">
        <v>26097.49</v>
      </c>
      <c r="S167" s="5">
        <v>26129.279999999999</v>
      </c>
    </row>
    <row r="168" spans="1:19">
      <c r="A168" t="s">
        <v>265</v>
      </c>
      <c r="B168" s="5">
        <v>150.1</v>
      </c>
      <c r="C168" s="5">
        <v>12.69</v>
      </c>
      <c r="D168" s="5">
        <v>401.88</v>
      </c>
      <c r="E168" s="5">
        <v>116.45</v>
      </c>
      <c r="F168" s="5">
        <v>0.22</v>
      </c>
      <c r="G168" s="5">
        <v>90.38</v>
      </c>
      <c r="H168" s="5">
        <v>176.37</v>
      </c>
      <c r="I168" s="5">
        <v>240.49</v>
      </c>
      <c r="J168" s="5">
        <v>79.38</v>
      </c>
      <c r="K168" s="5">
        <v>0.25</v>
      </c>
      <c r="L168" s="5">
        <v>249.41</v>
      </c>
      <c r="M168" s="5">
        <v>0.25</v>
      </c>
      <c r="N168" s="5">
        <v>85.76</v>
      </c>
      <c r="O168" s="5">
        <v>505.79</v>
      </c>
      <c r="P168" s="5">
        <v>775.59</v>
      </c>
      <c r="Q168" s="5">
        <v>320.13</v>
      </c>
      <c r="R168" s="5">
        <v>990.42</v>
      </c>
      <c r="S168" s="5">
        <v>369.74</v>
      </c>
    </row>
    <row r="169" spans="1:19">
      <c r="A169" t="s">
        <v>266</v>
      </c>
      <c r="B169" s="5">
        <f t="shared" ref="B169:S169" si="19">SUM(B165:B168)</f>
        <v>274708.92</v>
      </c>
      <c r="C169" s="5">
        <f t="shared" si="19"/>
        <v>256541.55000000002</v>
      </c>
      <c r="D169" s="5">
        <f t="shared" si="19"/>
        <v>263609.77</v>
      </c>
      <c r="E169" s="5">
        <f t="shared" si="19"/>
        <v>257356.49</v>
      </c>
      <c r="F169" s="5">
        <f t="shared" si="19"/>
        <v>260488.1</v>
      </c>
      <c r="G169" s="5">
        <f t="shared" si="19"/>
        <v>264377.71000000002</v>
      </c>
      <c r="H169" s="5">
        <f t="shared" si="19"/>
        <v>259100.88</v>
      </c>
      <c r="I169" s="5">
        <f t="shared" si="19"/>
        <v>256465.96999999997</v>
      </c>
      <c r="J169" s="5">
        <f t="shared" si="19"/>
        <v>251104.73</v>
      </c>
      <c r="K169" s="5">
        <f t="shared" si="19"/>
        <v>255428.01</v>
      </c>
      <c r="L169" s="5">
        <f t="shared" si="19"/>
        <v>259016.74000000002</v>
      </c>
      <c r="M169" s="5">
        <f t="shared" si="19"/>
        <v>259627.49000000002</v>
      </c>
      <c r="N169" s="5">
        <f t="shared" si="19"/>
        <v>245393.93</v>
      </c>
      <c r="O169" s="5">
        <f t="shared" si="19"/>
        <v>240340.11000000002</v>
      </c>
      <c r="P169" s="5">
        <f t="shared" si="19"/>
        <v>239431.32</v>
      </c>
      <c r="Q169" s="5">
        <f t="shared" si="19"/>
        <v>239698.47999999998</v>
      </c>
      <c r="R169" s="5">
        <f t="shared" si="19"/>
        <v>242592.19000000003</v>
      </c>
      <c r="S169" s="5">
        <f t="shared" si="19"/>
        <v>240781.33</v>
      </c>
    </row>
    <row r="170" spans="1:19">
      <c r="B170" s="9"/>
      <c r="C170" s="9"/>
      <c r="D170" s="9"/>
      <c r="E170" s="9"/>
      <c r="F170" s="9"/>
      <c r="G170" s="9"/>
      <c r="H170" s="9"/>
      <c r="I170" s="9"/>
      <c r="J170" s="9"/>
      <c r="K170" s="9"/>
      <c r="L170" s="9"/>
      <c r="M170" s="7"/>
      <c r="N170" s="7"/>
      <c r="O170" s="7"/>
      <c r="P170" s="7"/>
      <c r="Q170" s="7"/>
      <c r="R170" s="7"/>
    </row>
    <row r="171" spans="1:19">
      <c r="A171" s="14" t="s">
        <v>155</v>
      </c>
      <c r="P171" s="7"/>
      <c r="Q171" s="7"/>
      <c r="R171" s="7"/>
    </row>
    <row r="172" spans="1:19">
      <c r="A172" t="s">
        <v>160</v>
      </c>
      <c r="B172">
        <f>Assumptions!B2</f>
        <v>25</v>
      </c>
      <c r="P172" s="7"/>
      <c r="Q172" s="7"/>
      <c r="R172" s="7"/>
    </row>
    <row r="173" spans="1:19">
      <c r="A173" t="s">
        <v>2</v>
      </c>
      <c r="B173" s="3">
        <f>Assumptions!B3</f>
        <v>0.03</v>
      </c>
      <c r="C173" s="7"/>
      <c r="D173" s="7"/>
      <c r="E173" s="7"/>
      <c r="F173" s="7"/>
      <c r="G173" s="7"/>
      <c r="H173" s="7"/>
      <c r="I173" s="7"/>
      <c r="J173" s="7"/>
      <c r="K173" s="7"/>
      <c r="L173" s="7"/>
      <c r="M173" s="7"/>
      <c r="N173" s="7"/>
      <c r="O173" s="7"/>
    </row>
    <row r="174" spans="1:19">
      <c r="A174" t="s">
        <v>154</v>
      </c>
      <c r="B174" s="9">
        <f>Assumptions!B4</f>
        <v>0.01</v>
      </c>
      <c r="C174" s="7"/>
      <c r="D174" s="7"/>
      <c r="E174" s="7"/>
      <c r="F174" s="7"/>
      <c r="G174" s="7"/>
      <c r="H174" s="7"/>
      <c r="I174" s="7"/>
      <c r="J174" s="7"/>
      <c r="K174" s="7"/>
      <c r="L174" s="7"/>
      <c r="M174" s="7"/>
      <c r="N174" s="7"/>
      <c r="O174" s="7"/>
    </row>
    <row r="175" spans="1:19">
      <c r="A175" t="s">
        <v>162</v>
      </c>
      <c r="B175">
        <f>Assumptions!B5</f>
        <v>1</v>
      </c>
      <c r="C175" s="9"/>
      <c r="D175" s="9"/>
      <c r="E175" s="9"/>
      <c r="F175" s="9"/>
      <c r="G175" s="9"/>
      <c r="H175" s="9"/>
      <c r="I175" s="9"/>
      <c r="J175" s="9"/>
      <c r="K175" s="9"/>
      <c r="L175" s="9"/>
      <c r="M175" s="9"/>
      <c r="N175" s="9"/>
      <c r="O175" s="9"/>
    </row>
    <row r="176" spans="1:19">
      <c r="A176" t="s">
        <v>99</v>
      </c>
      <c r="B176" s="4">
        <f>Assumptions!B6</f>
        <v>7.99</v>
      </c>
      <c r="C176" s="15"/>
      <c r="D176" s="15"/>
      <c r="E176" s="15"/>
      <c r="F176" s="15"/>
      <c r="G176" s="15"/>
      <c r="H176" s="15"/>
      <c r="I176" s="15"/>
      <c r="J176" s="15"/>
      <c r="K176" s="15"/>
      <c r="L176" s="15"/>
      <c r="M176" s="15"/>
      <c r="N176" s="15"/>
      <c r="O176" s="15"/>
    </row>
    <row r="177" spans="1:15">
      <c r="A177" t="s">
        <v>98</v>
      </c>
      <c r="B177" s="4">
        <f>Assumptions!B7</f>
        <v>7.163333333333334</v>
      </c>
      <c r="C177" s="15"/>
      <c r="D177" s="15"/>
      <c r="E177" s="15"/>
      <c r="F177" s="15"/>
      <c r="G177" s="15"/>
      <c r="H177" s="15"/>
      <c r="I177" s="15"/>
      <c r="J177" s="15"/>
      <c r="K177" s="15"/>
      <c r="L177" s="15"/>
      <c r="M177" s="15"/>
      <c r="N177" s="15"/>
      <c r="O177" s="15"/>
    </row>
    <row r="178" spans="1:15">
      <c r="A178" t="s">
        <v>102</v>
      </c>
      <c r="B178">
        <v>134000</v>
      </c>
    </row>
    <row r="179" spans="1:15">
      <c r="A179" t="s">
        <v>103</v>
      </c>
      <c r="B179">
        <v>2.93071E-4</v>
      </c>
    </row>
    <row r="180" spans="1:15">
      <c r="A180" t="s">
        <v>228</v>
      </c>
      <c r="B180">
        <f>Assumptions!B10</f>
        <v>186075.58976888133</v>
      </c>
    </row>
    <row r="181" spans="1:15">
      <c r="A181" t="s">
        <v>285</v>
      </c>
      <c r="B181" s="11">
        <f>Assumptions!B11</f>
        <v>-2655676.2110055005</v>
      </c>
    </row>
    <row r="182" spans="1:15">
      <c r="A182" t="s">
        <v>235</v>
      </c>
      <c r="B182" s="11">
        <f>Assumptions!B12</f>
        <v>-13815874.877344536</v>
      </c>
    </row>
    <row r="183" spans="1:15">
      <c r="A183" t="s">
        <v>234</v>
      </c>
      <c r="B183" s="11">
        <f>Assumptions!B13</f>
        <v>-6752037.5898857638</v>
      </c>
    </row>
    <row r="184" spans="1:15">
      <c r="A184" t="s">
        <v>229</v>
      </c>
      <c r="B184" s="11">
        <f>Assumptions!B14</f>
        <v>21141875662.789482</v>
      </c>
    </row>
    <row r="185" spans="1:15">
      <c r="B185" s="39"/>
      <c r="C185" s="39"/>
      <c r="D185" s="9"/>
      <c r="E185" s="9"/>
      <c r="F185" s="9"/>
      <c r="G185" s="9"/>
      <c r="H185" s="9"/>
      <c r="I185" s="9"/>
      <c r="J185" s="9"/>
      <c r="K185" s="9"/>
      <c r="L185" s="9"/>
      <c r="M185" s="9"/>
      <c r="N185" s="9"/>
      <c r="O185" s="9"/>
    </row>
    <row r="186" spans="1:15">
      <c r="A186" t="s">
        <v>215</v>
      </c>
      <c r="B186" s="39">
        <f>Assumptions!B16</f>
        <v>0.14929999999999999</v>
      </c>
      <c r="D186" s="7"/>
      <c r="E186" s="7"/>
      <c r="F186" s="7"/>
      <c r="G186" s="7"/>
      <c r="H186" s="7"/>
      <c r="I186" s="7"/>
      <c r="J186" s="7"/>
      <c r="K186" s="7"/>
      <c r="L186" s="7"/>
      <c r="M186" s="7"/>
      <c r="N186" s="7"/>
      <c r="O186" s="7"/>
    </row>
    <row r="187" spans="1:15">
      <c r="A187" t="s">
        <v>215</v>
      </c>
      <c r="B187" s="39">
        <f>Assumptions!B17</f>
        <v>-0.90090000000000003</v>
      </c>
    </row>
    <row r="188" spans="1:15">
      <c r="A188" t="s">
        <v>215</v>
      </c>
      <c r="B188" s="39">
        <f>Assumptions!B18</f>
        <v>16.515000000000001</v>
      </c>
    </row>
    <row r="189" spans="1:15">
      <c r="B189" s="39"/>
      <c r="C189" s="39"/>
    </row>
    <row r="190" spans="1:15">
      <c r="A190" t="s">
        <v>216</v>
      </c>
      <c r="B190" s="39">
        <f>Assumptions!B20</f>
        <v>0.1123</v>
      </c>
      <c r="C190" s="39"/>
    </row>
    <row r="191" spans="1:15">
      <c r="A191" t="s">
        <v>216</v>
      </c>
      <c r="B191" s="39">
        <f>Assumptions!B21</f>
        <v>-0.6774</v>
      </c>
      <c r="C191" s="39"/>
    </row>
    <row r="192" spans="1:15">
      <c r="A192" t="s">
        <v>216</v>
      </c>
      <c r="B192" s="39">
        <f>Assumptions!B22</f>
        <v>12.417999999999999</v>
      </c>
      <c r="C192" s="39"/>
    </row>
    <row r="193" spans="1:3">
      <c r="B193" s="39"/>
      <c r="C193" s="39"/>
    </row>
    <row r="194" spans="1:3">
      <c r="A194" t="s">
        <v>217</v>
      </c>
      <c r="B194" s="5">
        <f>Assumptions!B24</f>
        <v>1747196.0752000001</v>
      </c>
      <c r="C194" s="39"/>
    </row>
    <row r="195" spans="1:3">
      <c r="A195" t="s">
        <v>223</v>
      </c>
      <c r="B195" s="5">
        <f>Assumptions!B25</f>
        <v>2813162.6651999997</v>
      </c>
    </row>
    <row r="197" spans="1:3">
      <c r="A197" t="s">
        <v>283</v>
      </c>
      <c r="B197" s="5">
        <f>B105/25</f>
        <v>1572476.4452000002</v>
      </c>
    </row>
    <row r="198" spans="1:3">
      <c r="A198" t="s">
        <v>284</v>
      </c>
      <c r="B198" s="5">
        <f>(B36+B35)/25</f>
        <v>1828555.7328000001</v>
      </c>
    </row>
    <row r="199" spans="1:3">
      <c r="B199" s="5"/>
    </row>
    <row r="200" spans="1:3">
      <c r="A200" t="s">
        <v>267</v>
      </c>
      <c r="B200">
        <v>80000</v>
      </c>
    </row>
    <row r="201" spans="1:3">
      <c r="A201" t="s">
        <v>272</v>
      </c>
      <c r="B201">
        <v>410.53</v>
      </c>
    </row>
    <row r="202" spans="1:3">
      <c r="A202" t="s">
        <v>273</v>
      </c>
      <c r="B202">
        <v>105.26</v>
      </c>
    </row>
    <row r="204" spans="1:3">
      <c r="A204" t="s">
        <v>271</v>
      </c>
      <c r="B204" s="11">
        <v>15.780750000000001</v>
      </c>
    </row>
    <row r="205" spans="1:3">
      <c r="A205" t="s">
        <v>270</v>
      </c>
      <c r="B205" s="11">
        <v>16.452750000000002</v>
      </c>
    </row>
    <row r="206" spans="1:3">
      <c r="A206" t="s">
        <v>268</v>
      </c>
      <c r="B206" s="11">
        <v>16.758750000000003</v>
      </c>
    </row>
    <row r="207" spans="1:3">
      <c r="A207" t="s">
        <v>269</v>
      </c>
      <c r="B207" s="11">
        <v>17.142244565217393</v>
      </c>
    </row>
    <row r="209" spans="1:19">
      <c r="A209" t="s">
        <v>335</v>
      </c>
      <c r="B209" s="11">
        <f>Assumptions!B36</f>
        <v>560000</v>
      </c>
    </row>
    <row r="210" spans="1:19">
      <c r="A210" t="s">
        <v>326</v>
      </c>
      <c r="B210" s="54">
        <f>Assumptions!B37</f>
        <v>17500</v>
      </c>
    </row>
    <row r="211" spans="1:19">
      <c r="A211" t="s">
        <v>329</v>
      </c>
      <c r="B211" s="11">
        <f>Assumptions!B38</f>
        <v>0.54</v>
      </c>
    </row>
    <row r="213" spans="1:19">
      <c r="A213" t="s">
        <v>221</v>
      </c>
      <c r="B213" s="5">
        <f>1-B197/B194</f>
        <v>0.1000000128663292</v>
      </c>
    </row>
    <row r="214" spans="1:19">
      <c r="A214" t="s">
        <v>220</v>
      </c>
      <c r="B214" s="5">
        <f>1-B198/B195</f>
        <v>0.34999999985070174</v>
      </c>
    </row>
    <row r="216" spans="1:19">
      <c r="A216" t="s">
        <v>218</v>
      </c>
      <c r="B216" s="4">
        <f>B188*(B213^2)+B213*B187+B186</f>
        <v>0.22436003090621209</v>
      </c>
    </row>
    <row r="217" spans="1:19">
      <c r="A217" t="s">
        <v>219</v>
      </c>
      <c r="B217" s="4">
        <f>B192*(B214^2)+B214*B191+B190</f>
        <v>1.3964149988033445</v>
      </c>
    </row>
    <row r="218" spans="1:19">
      <c r="B218" s="4"/>
      <c r="C218" s="5"/>
      <c r="D218" s="5"/>
      <c r="E218" s="5"/>
      <c r="F218" s="5"/>
      <c r="G218" s="5"/>
      <c r="H218" s="5"/>
      <c r="I218" s="5"/>
      <c r="J218" s="5"/>
      <c r="K218" s="5"/>
      <c r="L218" s="5"/>
      <c r="M218" s="5"/>
      <c r="N218" s="5"/>
      <c r="O218" s="5"/>
    </row>
    <row r="219" spans="1:19">
      <c r="A219" t="s">
        <v>218</v>
      </c>
      <c r="B219" s="11">
        <f>-B216*(B194-B197)</f>
        <v>-39200.101586721918</v>
      </c>
      <c r="C219" s="5"/>
      <c r="D219" s="5"/>
      <c r="E219" s="5"/>
      <c r="F219" s="5"/>
      <c r="G219" s="5"/>
      <c r="H219" s="5"/>
      <c r="I219" s="5"/>
      <c r="J219" s="5"/>
      <c r="K219" s="5"/>
      <c r="L219" s="5"/>
      <c r="M219" s="5"/>
      <c r="N219" s="5"/>
      <c r="O219" s="5"/>
    </row>
    <row r="220" spans="1:19">
      <c r="A220" t="s">
        <v>219</v>
      </c>
      <c r="B220" s="11">
        <f>-B217*(B195-B198)</f>
        <v>-1374919.8883291101</v>
      </c>
      <c r="C220" s="11">
        <f>B220+B219</f>
        <v>-1414119.9899158319</v>
      </c>
    </row>
    <row r="222" spans="1:19">
      <c r="A222" t="s">
        <v>222</v>
      </c>
    </row>
    <row r="223" spans="1:19">
      <c r="A223" t="s">
        <v>338</v>
      </c>
      <c r="B223" s="11">
        <f>-B59*1</f>
        <v>0</v>
      </c>
      <c r="C223" s="11">
        <f>-C59*1</f>
        <v>-550000</v>
      </c>
      <c r="D223" s="11">
        <f t="shared" ref="D223:R223" si="20">-D59*1</f>
        <v>-635000</v>
      </c>
      <c r="E223" s="11">
        <f t="shared" si="20"/>
        <v>-950000</v>
      </c>
      <c r="F223" s="11">
        <f t="shared" si="20"/>
        <v>-1035000</v>
      </c>
      <c r="G223" s="11">
        <f t="shared" si="20"/>
        <v>-1050000</v>
      </c>
      <c r="H223" s="11">
        <f t="shared" si="20"/>
        <v>-1135000</v>
      </c>
      <c r="I223" s="11">
        <f t="shared" si="20"/>
        <v>-1550000</v>
      </c>
      <c r="J223" s="11">
        <f t="shared" si="20"/>
        <v>-2500000</v>
      </c>
      <c r="K223" s="11">
        <f t="shared" si="20"/>
        <v>-2550000</v>
      </c>
      <c r="L223" s="11">
        <f t="shared" si="20"/>
        <v>-2635000</v>
      </c>
      <c r="M223" s="11">
        <f t="shared" si="20"/>
        <v>-2670000</v>
      </c>
      <c r="N223" s="11">
        <f t="shared" si="20"/>
        <v>-3500000</v>
      </c>
      <c r="O223" s="11">
        <f t="shared" si="20"/>
        <v>-4200000</v>
      </c>
      <c r="P223" s="11">
        <f t="shared" si="20"/>
        <v>-4800000</v>
      </c>
      <c r="Q223" s="11">
        <f t="shared" si="20"/>
        <v>-5300000</v>
      </c>
      <c r="R223" s="11">
        <f t="shared" si="20"/>
        <v>-5385000</v>
      </c>
      <c r="S223" s="11">
        <f>-S59*1</f>
        <v>-6300000</v>
      </c>
    </row>
    <row r="225" spans="1:19">
      <c r="A225" t="s">
        <v>158</v>
      </c>
      <c r="B225" s="11">
        <f t="shared" ref="B225:S225" si="21">-B48+B59</f>
        <v>0</v>
      </c>
      <c r="C225" s="11">
        <f t="shared" si="21"/>
        <v>0</v>
      </c>
      <c r="D225" s="11">
        <f t="shared" si="21"/>
        <v>0</v>
      </c>
      <c r="E225" s="11">
        <f t="shared" si="21"/>
        <v>0</v>
      </c>
      <c r="F225" s="11">
        <f t="shared" si="21"/>
        <v>0</v>
      </c>
      <c r="G225" s="11">
        <f t="shared" si="21"/>
        <v>0</v>
      </c>
      <c r="H225" s="11">
        <f t="shared" si="21"/>
        <v>0</v>
      </c>
      <c r="I225" s="11">
        <f t="shared" si="21"/>
        <v>0</v>
      </c>
      <c r="J225" s="11">
        <f t="shared" si="21"/>
        <v>0</v>
      </c>
      <c r="K225" s="11">
        <f t="shared" si="21"/>
        <v>0</v>
      </c>
      <c r="L225" s="11">
        <f t="shared" si="21"/>
        <v>0</v>
      </c>
      <c r="M225" s="11">
        <f t="shared" si="21"/>
        <v>0</v>
      </c>
      <c r="N225" s="11">
        <f t="shared" si="21"/>
        <v>0</v>
      </c>
      <c r="O225" s="11">
        <f t="shared" si="21"/>
        <v>0</v>
      </c>
      <c r="P225" s="11">
        <f t="shared" si="21"/>
        <v>0</v>
      </c>
      <c r="Q225" s="11">
        <f t="shared" si="21"/>
        <v>0</v>
      </c>
      <c r="R225" s="11">
        <f t="shared" si="21"/>
        <v>0</v>
      </c>
      <c r="S225" s="11">
        <f t="shared" si="21"/>
        <v>0</v>
      </c>
    </row>
    <row r="226" spans="1:19">
      <c r="A226" t="s">
        <v>157</v>
      </c>
      <c r="B226">
        <v>0</v>
      </c>
      <c r="C226" s="16">
        <f>IF(C225=0,0,-(C225+10000)/500)</f>
        <v>0</v>
      </c>
      <c r="D226" s="16">
        <f t="shared" ref="D226:S226" si="22">IF(D225=0,0,-(D225+10000)/500)</f>
        <v>0</v>
      </c>
      <c r="E226" s="16">
        <f t="shared" si="22"/>
        <v>0</v>
      </c>
      <c r="F226" s="16">
        <f t="shared" si="22"/>
        <v>0</v>
      </c>
      <c r="G226" s="16">
        <f t="shared" si="22"/>
        <v>0</v>
      </c>
      <c r="H226" s="16">
        <f t="shared" si="22"/>
        <v>0</v>
      </c>
      <c r="I226" s="16">
        <f t="shared" si="22"/>
        <v>0</v>
      </c>
      <c r="J226" s="16">
        <f t="shared" si="22"/>
        <v>0</v>
      </c>
      <c r="K226" s="16">
        <f t="shared" si="22"/>
        <v>0</v>
      </c>
      <c r="L226" s="16">
        <f t="shared" si="22"/>
        <v>0</v>
      </c>
      <c r="M226" s="16">
        <f t="shared" si="22"/>
        <v>0</v>
      </c>
      <c r="N226" s="16">
        <f t="shared" si="22"/>
        <v>0</v>
      </c>
      <c r="O226" s="16">
        <f t="shared" si="22"/>
        <v>0</v>
      </c>
      <c r="P226" s="16">
        <f t="shared" si="22"/>
        <v>0</v>
      </c>
      <c r="Q226" s="16">
        <f t="shared" si="22"/>
        <v>0</v>
      </c>
      <c r="R226" s="16">
        <f t="shared" si="22"/>
        <v>0</v>
      </c>
      <c r="S226" s="16">
        <f t="shared" si="22"/>
        <v>0</v>
      </c>
    </row>
    <row r="227" spans="1:19">
      <c r="A227" t="s">
        <v>156</v>
      </c>
      <c r="B227">
        <v>0</v>
      </c>
      <c r="C227" s="15">
        <f>ROUNDUP(C226/6,0)</f>
        <v>0</v>
      </c>
      <c r="D227" s="15">
        <f>ROUNDUP(D226/6,0)</f>
        <v>0</v>
      </c>
      <c r="E227" s="15">
        <f>ROUNDUP(E226/6,0)</f>
        <v>0</v>
      </c>
      <c r="F227" s="15">
        <f t="shared" ref="F227:O227" si="23">ROUNDUP(F226/6,0)</f>
        <v>0</v>
      </c>
      <c r="G227" s="15">
        <f t="shared" si="23"/>
        <v>0</v>
      </c>
      <c r="H227" s="15">
        <f t="shared" si="23"/>
        <v>0</v>
      </c>
      <c r="I227" s="15">
        <f t="shared" si="23"/>
        <v>0</v>
      </c>
      <c r="J227" s="15">
        <f t="shared" si="23"/>
        <v>0</v>
      </c>
      <c r="K227" s="15">
        <f t="shared" si="23"/>
        <v>0</v>
      </c>
      <c r="L227" s="15">
        <f t="shared" si="23"/>
        <v>0</v>
      </c>
      <c r="M227" s="15">
        <f t="shared" si="23"/>
        <v>0</v>
      </c>
      <c r="N227" s="15">
        <f t="shared" si="23"/>
        <v>0</v>
      </c>
      <c r="O227" s="15">
        <f t="shared" si="23"/>
        <v>0</v>
      </c>
      <c r="P227" s="15">
        <f>ROUNDUP(P226/6,0)</f>
        <v>0</v>
      </c>
      <c r="Q227" s="15">
        <f>ROUNDUP(Q226/6,0)</f>
        <v>0</v>
      </c>
      <c r="R227" s="15">
        <f>ROUNDUP(R226/6,0)</f>
        <v>0</v>
      </c>
      <c r="S227" s="15">
        <f>ROUNDUP(S226/6,0)</f>
        <v>0</v>
      </c>
    </row>
    <row r="228" spans="1:19">
      <c r="C228" s="15"/>
      <c r="D228" s="15"/>
      <c r="E228" s="15"/>
      <c r="F228" s="15"/>
      <c r="G228" s="15"/>
      <c r="H228" s="15"/>
      <c r="I228" s="15"/>
      <c r="J228" s="15"/>
      <c r="K228" s="15"/>
      <c r="L228" s="15"/>
      <c r="M228" s="15"/>
      <c r="N228" s="15"/>
      <c r="O228" s="15"/>
      <c r="P228" s="15"/>
      <c r="Q228" s="15"/>
      <c r="R228" s="15"/>
      <c r="S228" s="15"/>
    </row>
    <row r="229" spans="1:19">
      <c r="A229" t="s">
        <v>278</v>
      </c>
      <c r="C229" s="15"/>
      <c r="D229" s="15"/>
      <c r="E229" s="15"/>
      <c r="F229" s="15"/>
      <c r="G229" s="15"/>
      <c r="H229" s="15"/>
      <c r="I229" s="15"/>
      <c r="J229" s="15"/>
      <c r="K229" s="15"/>
      <c r="L229" s="15"/>
      <c r="M229" s="15"/>
      <c r="N229" s="15"/>
      <c r="O229" s="15"/>
      <c r="P229" s="15"/>
      <c r="Q229" s="15"/>
      <c r="R229" s="15"/>
      <c r="S229" s="15"/>
    </row>
    <row r="230" spans="1:19">
      <c r="A230" t="s">
        <v>274</v>
      </c>
      <c r="B230" s="11">
        <f t="shared" ref="B230:S230" si="24">-(202*$B$201+$B$202)*B165/($B$200)/25</f>
        <v>-3357.9490783103997</v>
      </c>
      <c r="C230" s="11">
        <f t="shared" si="24"/>
        <v>-3860.6437652160002</v>
      </c>
      <c r="D230" s="11">
        <f t="shared" si="24"/>
        <v>-3897.5919021311997</v>
      </c>
      <c r="E230" s="11">
        <f t="shared" si="24"/>
        <v>-3771.2553211199997</v>
      </c>
      <c r="F230" s="11">
        <f t="shared" si="24"/>
        <v>-3824.2984429439994</v>
      </c>
      <c r="G230" s="11">
        <f t="shared" si="24"/>
        <v>-3746.9592339647993</v>
      </c>
      <c r="H230" s="11">
        <f t="shared" si="24"/>
        <v>-3788.1644379263994</v>
      </c>
      <c r="I230" s="11">
        <f t="shared" si="24"/>
        <v>-3820.8990997632</v>
      </c>
      <c r="J230" s="11">
        <f t="shared" si="24"/>
        <v>-3183.8871804095998</v>
      </c>
      <c r="K230" s="11">
        <f t="shared" si="24"/>
        <v>-3637.1464997952003</v>
      </c>
      <c r="L230" s="11">
        <f t="shared" si="24"/>
        <v>-3649.6353910463995</v>
      </c>
      <c r="M230" s="11">
        <f t="shared" si="24"/>
        <v>-3690.6409022784001</v>
      </c>
      <c r="N230" s="11">
        <f t="shared" si="24"/>
        <v>-3118.0039406208002</v>
      </c>
      <c r="O230" s="11">
        <f t="shared" si="24"/>
        <v>-3205.7234350847998</v>
      </c>
      <c r="P230" s="11">
        <f t="shared" si="24"/>
        <v>-3409.5507590591997</v>
      </c>
      <c r="Q230" s="11">
        <f t="shared" si="24"/>
        <v>-3374.8743864191993</v>
      </c>
      <c r="R230" s="11">
        <f t="shared" si="24"/>
        <v>-3379.7068674431998</v>
      </c>
      <c r="S230" s="11">
        <f t="shared" si="24"/>
        <v>-3386.648784556799</v>
      </c>
    </row>
    <row r="231" spans="1:19">
      <c r="A231" t="s">
        <v>275</v>
      </c>
      <c r="B231" s="11">
        <f t="shared" ref="B231:S231" si="25">-(314*$B$201+$B$202)*B166/($B$200)/25</f>
        <v>-11134.807808571997</v>
      </c>
      <c r="C231" s="11">
        <f t="shared" si="25"/>
        <v>-10083.1033030952</v>
      </c>
      <c r="D231" s="11">
        <f t="shared" si="25"/>
        <v>-10467.945789593599</v>
      </c>
      <c r="E231" s="11">
        <f t="shared" si="25"/>
        <v>-10258.060557751998</v>
      </c>
      <c r="F231" s="11">
        <f t="shared" si="25"/>
        <v>-10489.662325687999</v>
      </c>
      <c r="G231" s="11">
        <f t="shared" si="25"/>
        <v>-10450.5085709248</v>
      </c>
      <c r="H231" s="11">
        <f t="shared" si="25"/>
        <v>-10092.448264136001</v>
      </c>
      <c r="I231" s="11">
        <f t="shared" si="25"/>
        <v>-9978.3019549640012</v>
      </c>
      <c r="J231" s="11">
        <f t="shared" si="25"/>
        <v>-10653.661973303999</v>
      </c>
      <c r="K231" s="11">
        <f t="shared" si="25"/>
        <v>-10184.649686539999</v>
      </c>
      <c r="L231" s="11">
        <f t="shared" si="25"/>
        <v>-10152.325810115999</v>
      </c>
      <c r="M231" s="11">
        <f t="shared" si="25"/>
        <v>-10240.336288095199</v>
      </c>
      <c r="N231" s="11">
        <f t="shared" si="25"/>
        <v>-10254.940410271198</v>
      </c>
      <c r="O231" s="11">
        <f t="shared" si="25"/>
        <v>-8750.7029249751995</v>
      </c>
      <c r="P231" s="11">
        <f t="shared" si="25"/>
        <v>-8467.8699738528012</v>
      </c>
      <c r="Q231" s="11">
        <f t="shared" si="25"/>
        <v>-8620.1966446623992</v>
      </c>
      <c r="R231" s="11">
        <f t="shared" si="25"/>
        <v>-8650.0563979983999</v>
      </c>
      <c r="S231" s="11">
        <f t="shared" si="25"/>
        <v>-8560.4461751871986</v>
      </c>
    </row>
    <row r="232" spans="1:19">
      <c r="A232" t="s">
        <v>276</v>
      </c>
      <c r="B232" s="11">
        <f t="shared" ref="B232:S232" si="26">-(365*$B$201+$B$202)*B167/($B$200)/25</f>
        <v>-1578.8721963046501</v>
      </c>
      <c r="C232" s="11">
        <f t="shared" si="26"/>
        <v>-541.65072821039996</v>
      </c>
      <c r="D232" s="11">
        <f t="shared" si="26"/>
        <v>-528.38401609314997</v>
      </c>
      <c r="E232" s="11">
        <f t="shared" si="26"/>
        <v>-553.0475799139499</v>
      </c>
      <c r="F232" s="11">
        <f t="shared" si="26"/>
        <v>-431.57338019939999</v>
      </c>
      <c r="G232" s="11">
        <f t="shared" si="26"/>
        <v>-901.61010400089992</v>
      </c>
      <c r="H232" s="11">
        <f t="shared" si="26"/>
        <v>-841.29248565984994</v>
      </c>
      <c r="I232" s="11">
        <f t="shared" si="26"/>
        <v>-712.48954274405003</v>
      </c>
      <c r="J232" s="11">
        <f t="shared" si="26"/>
        <v>-688.03515737370003</v>
      </c>
      <c r="K232" s="11">
        <f t="shared" si="26"/>
        <v>-744.68578001169999</v>
      </c>
      <c r="L232" s="11">
        <f t="shared" si="26"/>
        <v>-1010.0837505584499</v>
      </c>
      <c r="M232" s="11">
        <f t="shared" si="26"/>
        <v>-898.20926725809989</v>
      </c>
      <c r="N232" s="11">
        <f t="shared" si="26"/>
        <v>-841.80156153029998</v>
      </c>
      <c r="O232" s="11">
        <f t="shared" si="26"/>
        <v>-2021.3468477210499</v>
      </c>
      <c r="P232" s="11">
        <f t="shared" si="26"/>
        <v>-1893.6227857736999</v>
      </c>
      <c r="Q232" s="11">
        <f t="shared" si="26"/>
        <v>-1833.3756433263497</v>
      </c>
      <c r="R232" s="11">
        <f t="shared" si="26"/>
        <v>-1956.64247986895</v>
      </c>
      <c r="S232" s="11">
        <f t="shared" si="26"/>
        <v>-1959.0259146143999</v>
      </c>
    </row>
    <row r="233" spans="1:19">
      <c r="A233" t="s">
        <v>277</v>
      </c>
      <c r="B233" s="11">
        <f t="shared" ref="B233:S233" si="27">-(397*$B$201+$B$202)*B168/($B$200)/25</f>
        <v>-12.239579533500001</v>
      </c>
      <c r="C233" s="11">
        <f t="shared" si="27"/>
        <v>-1.0347785761500001</v>
      </c>
      <c r="D233" s="11">
        <f t="shared" si="27"/>
        <v>-32.770434529799999</v>
      </c>
      <c r="E233" s="11">
        <f t="shared" si="27"/>
        <v>-9.4956631357500001</v>
      </c>
      <c r="F233" s="11">
        <f t="shared" si="27"/>
        <v>-1.7939423700000002E-2</v>
      </c>
      <c r="G233" s="11">
        <f t="shared" si="27"/>
        <v>-7.3698414272999999</v>
      </c>
      <c r="H233" s="11">
        <f t="shared" si="27"/>
        <v>-14.381709808950001</v>
      </c>
      <c r="I233" s="11">
        <f t="shared" si="27"/>
        <v>-19.610236389150003</v>
      </c>
      <c r="J233" s="11">
        <f t="shared" si="27"/>
        <v>-6.4728702423000009</v>
      </c>
      <c r="K233" s="11">
        <f t="shared" si="27"/>
        <v>-2.0385708749999999E-2</v>
      </c>
      <c r="L233" s="11">
        <f t="shared" si="27"/>
        <v>-20.337598477349999</v>
      </c>
      <c r="M233" s="11">
        <f t="shared" si="27"/>
        <v>-2.0385708749999999E-2</v>
      </c>
      <c r="N233" s="11">
        <f t="shared" si="27"/>
        <v>-6.9931135296000013</v>
      </c>
      <c r="O233" s="11">
        <f t="shared" si="27"/>
        <v>-41.243550514650003</v>
      </c>
      <c r="P233" s="11">
        <f t="shared" si="27"/>
        <v>-63.243807397650009</v>
      </c>
      <c r="Q233" s="11">
        <f t="shared" si="27"/>
        <v>-26.104307768550001</v>
      </c>
      <c r="R233" s="11">
        <f t="shared" si="27"/>
        <v>-80.761654640700002</v>
      </c>
      <c r="S233" s="11">
        <f t="shared" si="27"/>
        <v>-30.149647812900003</v>
      </c>
    </row>
    <row r="234" spans="1:19">
      <c r="A234" t="s">
        <v>286</v>
      </c>
      <c r="B234" s="11">
        <f t="shared" ref="B234:S234" si="28">IF(B65&lt;0.3,-(100*$B$201+$B$202),0)</f>
        <v>0</v>
      </c>
      <c r="C234" s="11">
        <f t="shared" si="28"/>
        <v>0</v>
      </c>
      <c r="D234" s="11">
        <f t="shared" si="28"/>
        <v>0</v>
      </c>
      <c r="E234" s="11">
        <f t="shared" si="28"/>
        <v>0</v>
      </c>
      <c r="F234" s="11">
        <f t="shared" si="28"/>
        <v>0</v>
      </c>
      <c r="G234" s="11">
        <f t="shared" si="28"/>
        <v>0</v>
      </c>
      <c r="H234" s="11">
        <f t="shared" si="28"/>
        <v>0</v>
      </c>
      <c r="I234" s="11">
        <f t="shared" si="28"/>
        <v>0</v>
      </c>
      <c r="J234" s="11">
        <f t="shared" si="28"/>
        <v>0</v>
      </c>
      <c r="K234" s="11">
        <f t="shared" si="28"/>
        <v>0</v>
      </c>
      <c r="L234" s="11">
        <f t="shared" si="28"/>
        <v>0</v>
      </c>
      <c r="M234" s="11">
        <f t="shared" si="28"/>
        <v>0</v>
      </c>
      <c r="N234" s="11">
        <f t="shared" si="28"/>
        <v>0</v>
      </c>
      <c r="O234" s="11">
        <f t="shared" si="28"/>
        <v>-41158.26</v>
      </c>
      <c r="P234" s="11">
        <f t="shared" si="28"/>
        <v>-41158.26</v>
      </c>
      <c r="Q234" s="11">
        <f t="shared" si="28"/>
        <v>-41158.26</v>
      </c>
      <c r="R234" s="11">
        <f t="shared" si="28"/>
        <v>-41158.26</v>
      </c>
      <c r="S234" s="11">
        <f t="shared" si="28"/>
        <v>-41158.26</v>
      </c>
    </row>
    <row r="235" spans="1:19">
      <c r="C235" s="15"/>
      <c r="D235" s="15"/>
      <c r="E235" s="15"/>
      <c r="F235" s="15"/>
      <c r="G235" s="15"/>
      <c r="H235" s="15"/>
      <c r="I235" s="15"/>
      <c r="J235" s="15"/>
      <c r="K235" s="15"/>
      <c r="L235" s="15"/>
      <c r="M235" s="15"/>
      <c r="N235" s="15"/>
      <c r="O235" s="15"/>
      <c r="P235" s="15"/>
      <c r="Q235" s="15"/>
      <c r="R235" s="15"/>
      <c r="S235" s="15"/>
    </row>
    <row r="236" spans="1:19">
      <c r="A236" t="s">
        <v>279</v>
      </c>
      <c r="C236" s="15"/>
      <c r="D236" s="15"/>
      <c r="E236" s="15"/>
      <c r="F236" s="15"/>
      <c r="G236" s="15"/>
      <c r="H236" s="15"/>
      <c r="I236" s="15"/>
      <c r="J236" s="15"/>
      <c r="K236" s="15"/>
      <c r="L236" s="15"/>
      <c r="M236" s="15"/>
      <c r="N236" s="15"/>
      <c r="O236" s="15"/>
      <c r="P236" s="15"/>
      <c r="Q236" s="15"/>
      <c r="R236" s="15"/>
      <c r="S236" s="15"/>
    </row>
    <row r="237" spans="1:19">
      <c r="A237" t="s">
        <v>274</v>
      </c>
      <c r="B237" s="11">
        <f t="shared" ref="B237:O237" si="29">-$B204*B165/25</f>
        <v>-51055.738216200007</v>
      </c>
      <c r="C237" s="11">
        <f t="shared" si="29"/>
        <v>-58698.929860500008</v>
      </c>
      <c r="D237" s="11">
        <f t="shared" si="29"/>
        <v>-59260.705623600006</v>
      </c>
      <c r="E237" s="11">
        <f t="shared" si="29"/>
        <v>-57339.828547500008</v>
      </c>
      <c r="F237" s="11">
        <f t="shared" si="29"/>
        <v>-58146.319556999995</v>
      </c>
      <c r="G237" s="11">
        <f t="shared" si="29"/>
        <v>-56970.420126900004</v>
      </c>
      <c r="H237" s="11">
        <f t="shared" si="29"/>
        <v>-57596.9222142</v>
      </c>
      <c r="I237" s="11">
        <f t="shared" si="29"/>
        <v>-58094.634444600008</v>
      </c>
      <c r="J237" s="11">
        <f t="shared" si="29"/>
        <v>-48409.22438130001</v>
      </c>
      <c r="K237" s="11">
        <f t="shared" si="29"/>
        <v>-55300.778903100007</v>
      </c>
      <c r="L237" s="11">
        <f t="shared" si="29"/>
        <v>-55490.665511699997</v>
      </c>
      <c r="M237" s="11">
        <f t="shared" si="29"/>
        <v>-56114.131382700012</v>
      </c>
      <c r="N237" s="11">
        <f t="shared" si="29"/>
        <v>-47407.506557400004</v>
      </c>
      <c r="O237" s="11">
        <f t="shared" si="29"/>
        <v>-48741.232424400005</v>
      </c>
      <c r="P237" s="11">
        <f t="shared" ref="P237:S240" si="30">-$B204*P165/25</f>
        <v>-51840.312920099997</v>
      </c>
      <c r="Q237" s="11">
        <f t="shared" si="30"/>
        <v>-51313.078062599998</v>
      </c>
      <c r="R237" s="11">
        <f t="shared" si="30"/>
        <v>-51386.553234600004</v>
      </c>
      <c r="S237" s="11">
        <f t="shared" si="30"/>
        <v>-51492.101202899998</v>
      </c>
    </row>
    <row r="238" spans="1:19">
      <c r="A238" t="s">
        <v>275</v>
      </c>
      <c r="B238" s="11">
        <f t="shared" ref="B238:O238" si="31">-$B205*B166/25</f>
        <v>-113601.00677550001</v>
      </c>
      <c r="C238" s="11">
        <f t="shared" si="31"/>
        <v>-102871.16817330002</v>
      </c>
      <c r="D238" s="11">
        <f t="shared" si="31"/>
        <v>-106797.45901440002</v>
      </c>
      <c r="E238" s="11">
        <f t="shared" si="31"/>
        <v>-104656.14018300001</v>
      </c>
      <c r="F238" s="11">
        <f t="shared" si="31"/>
        <v>-107019.01832700001</v>
      </c>
      <c r="G238" s="11">
        <f t="shared" si="31"/>
        <v>-106619.55871920001</v>
      </c>
      <c r="H238" s="11">
        <f t="shared" si="31"/>
        <v>-102966.50856900001</v>
      </c>
      <c r="I238" s="11">
        <f t="shared" si="31"/>
        <v>-101801.95001850002</v>
      </c>
      <c r="J238" s="11">
        <f t="shared" si="31"/>
        <v>-108692.19719100003</v>
      </c>
      <c r="K238" s="11">
        <f t="shared" si="31"/>
        <v>-103907.17809750001</v>
      </c>
      <c r="L238" s="11">
        <f t="shared" si="31"/>
        <v>-103577.39917650001</v>
      </c>
      <c r="M238" s="11">
        <f t="shared" si="31"/>
        <v>-104475.3112983</v>
      </c>
      <c r="N238" s="11">
        <f t="shared" si="31"/>
        <v>-104624.30740230001</v>
      </c>
      <c r="O238" s="11">
        <f t="shared" si="31"/>
        <v>-89277.577068300001</v>
      </c>
      <c r="P238" s="11">
        <f t="shared" si="30"/>
        <v>-86392.021381200015</v>
      </c>
      <c r="Q238" s="11">
        <f t="shared" si="30"/>
        <v>-87946.108659599995</v>
      </c>
      <c r="R238" s="11">
        <f t="shared" si="30"/>
        <v>-88250.747778600009</v>
      </c>
      <c r="S238" s="11">
        <f t="shared" si="30"/>
        <v>-87336.514528800006</v>
      </c>
    </row>
    <row r="239" spans="1:19">
      <c r="A239" t="s">
        <v>276</v>
      </c>
      <c r="B239" s="11">
        <f t="shared" ref="B239:O239" si="32">-$B206*B167/25</f>
        <v>-14116.786690500005</v>
      </c>
      <c r="C239" s="11">
        <f t="shared" si="32"/>
        <v>-4842.9301680000008</v>
      </c>
      <c r="D239" s="11">
        <f t="shared" si="32"/>
        <v>-4724.3117355000004</v>
      </c>
      <c r="E239" s="11">
        <f t="shared" si="32"/>
        <v>-4944.8300715000005</v>
      </c>
      <c r="F239" s="11">
        <f t="shared" si="32"/>
        <v>-3858.7222980000001</v>
      </c>
      <c r="G239" s="11">
        <f t="shared" si="32"/>
        <v>-8061.3475530000005</v>
      </c>
      <c r="H239" s="11">
        <f t="shared" si="32"/>
        <v>-7522.0442745000009</v>
      </c>
      <c r="I239" s="11">
        <f t="shared" si="32"/>
        <v>-6370.4097885000019</v>
      </c>
      <c r="J239" s="11">
        <f t="shared" si="32"/>
        <v>-6151.7617290000017</v>
      </c>
      <c r="K239" s="11">
        <f t="shared" si="32"/>
        <v>-6658.2781890000015</v>
      </c>
      <c r="L239" s="11">
        <f t="shared" si="32"/>
        <v>-9031.2166365000012</v>
      </c>
      <c r="M239" s="11">
        <f t="shared" si="32"/>
        <v>-8030.940477000001</v>
      </c>
      <c r="N239" s="11">
        <f t="shared" si="32"/>
        <v>-7526.5959510000012</v>
      </c>
      <c r="O239" s="11">
        <f t="shared" si="32"/>
        <v>-18072.977878500002</v>
      </c>
      <c r="P239" s="11">
        <f t="shared" si="30"/>
        <v>-16930.989729000001</v>
      </c>
      <c r="Q239" s="11">
        <f t="shared" si="30"/>
        <v>-16392.316579500002</v>
      </c>
      <c r="R239" s="11">
        <f t="shared" si="30"/>
        <v>-17494.452421500002</v>
      </c>
      <c r="S239" s="11">
        <f t="shared" si="30"/>
        <v>-17515.762848000002</v>
      </c>
    </row>
    <row r="240" spans="1:19">
      <c r="A240" t="s">
        <v>277</v>
      </c>
      <c r="B240" s="11">
        <f t="shared" ref="B240:O240" si="33">-$B207*B168/25</f>
        <v>-102.92203636956523</v>
      </c>
      <c r="C240" s="11">
        <f t="shared" si="33"/>
        <v>-8.7014033413043474</v>
      </c>
      <c r="D240" s="11">
        <f t="shared" si="33"/>
        <v>-275.56500983478259</v>
      </c>
      <c r="E240" s="11">
        <f t="shared" si="33"/>
        <v>-79.848575184782618</v>
      </c>
      <c r="F240" s="11">
        <f t="shared" si="33"/>
        <v>-0.15085175217391306</v>
      </c>
      <c r="G240" s="11">
        <f t="shared" si="33"/>
        <v>-61.972642552173909</v>
      </c>
      <c r="H240" s="11">
        <f t="shared" si="33"/>
        <v>-120.93510695869567</v>
      </c>
      <c r="I240" s="11">
        <f t="shared" si="33"/>
        <v>-164.90153581956525</v>
      </c>
      <c r="J240" s="11">
        <f t="shared" si="33"/>
        <v>-54.430054943478261</v>
      </c>
      <c r="K240" s="11">
        <f t="shared" si="33"/>
        <v>-0.17142244565217393</v>
      </c>
      <c r="L240" s="11">
        <f t="shared" si="33"/>
        <v>-171.01788868043479</v>
      </c>
      <c r="M240" s="11">
        <f t="shared" si="33"/>
        <v>-0.17142244565217393</v>
      </c>
      <c r="N240" s="11">
        <f t="shared" si="33"/>
        <v>-58.804755756521743</v>
      </c>
      <c r="O240" s="11">
        <f t="shared" si="33"/>
        <v>-346.81503514565225</v>
      </c>
      <c r="P240" s="11">
        <f t="shared" si="30"/>
        <v>-531.81413849347837</v>
      </c>
      <c r="Q240" s="11">
        <f t="shared" si="30"/>
        <v>-219.50987010652173</v>
      </c>
      <c r="R240" s="11">
        <f t="shared" si="30"/>
        <v>-679.12087449130445</v>
      </c>
      <c r="S240" s="11">
        <f t="shared" si="30"/>
        <v>-253.52694022173918</v>
      </c>
    </row>
    <row r="241" spans="1:19">
      <c r="E241" s="15"/>
      <c r="F241" s="15"/>
      <c r="G241" s="15"/>
      <c r="H241" s="15"/>
      <c r="I241" s="15"/>
      <c r="J241" s="15"/>
      <c r="K241" s="15"/>
      <c r="L241" s="15"/>
      <c r="M241" s="15"/>
      <c r="N241" s="15"/>
      <c r="O241" s="15"/>
      <c r="P241" s="15"/>
      <c r="Q241" s="15"/>
      <c r="R241" s="15"/>
      <c r="S241" s="15"/>
    </row>
    <row r="242" spans="1:19">
      <c r="A242" t="s">
        <v>231</v>
      </c>
      <c r="B242" s="2">
        <f t="shared" ref="B242:S242" si="34">B50*24*365</f>
        <v>116945.99999999999</v>
      </c>
      <c r="C242" s="2">
        <f t="shared" si="34"/>
        <v>111339.6</v>
      </c>
      <c r="D242" s="2">
        <f t="shared" si="34"/>
        <v>111339.6</v>
      </c>
      <c r="E242" s="2">
        <f t="shared" si="34"/>
        <v>98725.200000000012</v>
      </c>
      <c r="F242" s="2">
        <f t="shared" si="34"/>
        <v>98900.4</v>
      </c>
      <c r="G242" s="2">
        <f t="shared" si="34"/>
        <v>105120</v>
      </c>
      <c r="H242" s="2">
        <f t="shared" si="34"/>
        <v>105120</v>
      </c>
      <c r="I242" s="2">
        <f t="shared" si="34"/>
        <v>100214.39999999999</v>
      </c>
      <c r="J242" s="2">
        <f t="shared" si="34"/>
        <v>82869.600000000006</v>
      </c>
      <c r="K242" s="2">
        <f t="shared" si="34"/>
        <v>94170</v>
      </c>
      <c r="L242" s="2">
        <f t="shared" si="34"/>
        <v>94170</v>
      </c>
      <c r="M242" s="2">
        <f t="shared" si="34"/>
        <v>94170</v>
      </c>
      <c r="N242" s="2">
        <f t="shared" si="34"/>
        <v>78226.8</v>
      </c>
      <c r="O242" s="2">
        <f t="shared" si="34"/>
        <v>64385.999999999993</v>
      </c>
      <c r="P242" s="2">
        <f t="shared" si="34"/>
        <v>36441.599999999999</v>
      </c>
      <c r="Q242" s="2">
        <f t="shared" si="34"/>
        <v>32850</v>
      </c>
      <c r="R242" s="2">
        <f t="shared" si="34"/>
        <v>34864.799999999996</v>
      </c>
      <c r="S242" s="2">
        <f t="shared" si="34"/>
        <v>31536.000000000004</v>
      </c>
    </row>
    <row r="243" spans="1:19">
      <c r="A243" t="s">
        <v>224</v>
      </c>
      <c r="B243" s="2">
        <f t="shared" ref="B243:S243" si="35">(B41+B40)/$B$178/$B$179/25-B51</f>
        <v>33964.152306427502</v>
      </c>
      <c r="C243" s="2">
        <f t="shared" si="35"/>
        <v>34378.237029517128</v>
      </c>
      <c r="D243" s="2">
        <f t="shared" si="35"/>
        <v>34378.261454345768</v>
      </c>
      <c r="E243" s="2">
        <f t="shared" si="35"/>
        <v>35456.961582891869</v>
      </c>
      <c r="F243" s="2">
        <f t="shared" si="35"/>
        <v>35429.835997664872</v>
      </c>
      <c r="G243" s="2">
        <f t="shared" si="35"/>
        <v>34964.122024936441</v>
      </c>
      <c r="H243" s="2">
        <f t="shared" si="35"/>
        <v>34964.087414607959</v>
      </c>
      <c r="I243" s="2">
        <f t="shared" si="35"/>
        <v>35453.05493442397</v>
      </c>
      <c r="J243" s="2">
        <f t="shared" si="35"/>
        <v>37014.994563234817</v>
      </c>
      <c r="K243" s="2">
        <f t="shared" si="35"/>
        <v>36064.806546546693</v>
      </c>
      <c r="L243" s="2">
        <f t="shared" si="35"/>
        <v>36064.70602584866</v>
      </c>
      <c r="M243" s="2">
        <f t="shared" si="35"/>
        <v>36064.728912666826</v>
      </c>
      <c r="N243" s="2">
        <f t="shared" si="35"/>
        <v>37508.085030793569</v>
      </c>
      <c r="O243" s="2">
        <f t="shared" si="35"/>
        <v>39031.708734223997</v>
      </c>
      <c r="P243" s="2">
        <f t="shared" si="35"/>
        <v>42035.056687654062</v>
      </c>
      <c r="Q243" s="2">
        <f t="shared" si="35"/>
        <v>42396.859423346905</v>
      </c>
      <c r="R243" s="2">
        <f t="shared" si="35"/>
        <v>42183.504155200128</v>
      </c>
      <c r="S243" s="2">
        <f t="shared" si="35"/>
        <v>42541.526919486729</v>
      </c>
    </row>
    <row r="244" spans="1:19">
      <c r="A244" t="s">
        <v>232</v>
      </c>
      <c r="B244" s="2">
        <f t="shared" ref="B244:O244" si="36">B242+B243</f>
        <v>150910.15230642748</v>
      </c>
      <c r="C244" s="2">
        <f t="shared" si="36"/>
        <v>145717.83702951713</v>
      </c>
      <c r="D244" s="2">
        <f t="shared" si="36"/>
        <v>145717.86145434578</v>
      </c>
      <c r="E244" s="2">
        <f t="shared" si="36"/>
        <v>134182.16158289189</v>
      </c>
      <c r="F244" s="2">
        <f t="shared" si="36"/>
        <v>134330.23599766486</v>
      </c>
      <c r="G244" s="2">
        <f t="shared" si="36"/>
        <v>140084.12202493643</v>
      </c>
      <c r="H244" s="2">
        <f t="shared" si="36"/>
        <v>140084.08741460796</v>
      </c>
      <c r="I244" s="2">
        <f t="shared" si="36"/>
        <v>135667.45493442396</v>
      </c>
      <c r="J244" s="2">
        <f t="shared" si="36"/>
        <v>119884.59456323483</v>
      </c>
      <c r="K244" s="2">
        <f t="shared" si="36"/>
        <v>130234.80654654669</v>
      </c>
      <c r="L244" s="2">
        <f t="shared" si="36"/>
        <v>130234.70602584866</v>
      </c>
      <c r="M244" s="2">
        <f t="shared" si="36"/>
        <v>130234.72891266682</v>
      </c>
      <c r="N244" s="2">
        <f t="shared" si="36"/>
        <v>115734.88503079358</v>
      </c>
      <c r="O244" s="2">
        <f t="shared" si="36"/>
        <v>103417.708734224</v>
      </c>
      <c r="P244" s="2">
        <f>P242+P243</f>
        <v>78476.65668765406</v>
      </c>
      <c r="Q244" s="2">
        <f>Q242+Q243</f>
        <v>75246.859423346905</v>
      </c>
      <c r="R244" s="2">
        <f>R242+R243</f>
        <v>77048.304155200123</v>
      </c>
      <c r="S244" s="2">
        <f>S242+S243</f>
        <v>74077.526919486729</v>
      </c>
    </row>
    <row r="245" spans="1:19">
      <c r="B245" s="2"/>
      <c r="C245" s="2"/>
      <c r="D245" s="2"/>
      <c r="E245" s="2"/>
      <c r="F245" s="2"/>
      <c r="G245" s="2"/>
      <c r="H245" s="2"/>
      <c r="I245" s="2"/>
      <c r="J245" s="2"/>
      <c r="K245" s="2"/>
      <c r="L245" s="2"/>
      <c r="M245" s="2"/>
      <c r="N245" s="2"/>
      <c r="O245" s="2"/>
      <c r="P245" s="2"/>
      <c r="Q245" s="2"/>
      <c r="R245" s="2"/>
      <c r="S245" s="2"/>
    </row>
    <row r="246" spans="1:19">
      <c r="A246" t="s">
        <v>330</v>
      </c>
      <c r="B246" s="2">
        <f>IF(B45="No Generator",0,IF(B45="WG 100",1,IF(B45="WG 200",2,IF(B45="WG 300",3,IF(B45="WG 400",4,IF(B45="WG 500",5))))))</f>
        <v>0</v>
      </c>
      <c r="C246" s="2">
        <f>IF(C45="No Generator",0,IF(C45="WG 100",1,IF(C45="WG 200",2,IF(C45="WG 300",3,IF(C45="WG 400",4,IF(C45="WG 500",5))))))</f>
        <v>0</v>
      </c>
      <c r="D246" s="2">
        <f>IF(D45="No Generator",0,IF(D45="WG 100",1,IF(D45="WG 200",2,IF(D45="WG 300",3,IF(D45="WG 400",4,IF(D45="WG 500",5))))))</f>
        <v>0</v>
      </c>
      <c r="E246" s="2">
        <f>IF(E45="No Generator",0,IF(E45="WG 100",1,IF(E45="WG 200",2,IF(E45="WG 300",3,IF(E45="WG 400",4,IF(E45="WG 500",5))))))</f>
        <v>1</v>
      </c>
      <c r="F246" s="2">
        <f t="shared" ref="F246:S246" si="37">IF(F45="No Generator",0,IF(F45="WG 100",1,IF(F45="WG 200",2,IF(F45="WG 300",3,IF(F45="WG 400",4,IF(F45="WG 500",5))))))</f>
        <v>1</v>
      </c>
      <c r="G246" s="2">
        <f t="shared" si="37"/>
        <v>0</v>
      </c>
      <c r="H246" s="2">
        <f t="shared" si="37"/>
        <v>0</v>
      </c>
      <c r="I246" s="2">
        <f t="shared" si="37"/>
        <v>0</v>
      </c>
      <c r="J246" s="2">
        <f t="shared" si="37"/>
        <v>1</v>
      </c>
      <c r="K246" s="2">
        <f t="shared" si="37"/>
        <v>0</v>
      </c>
      <c r="L246" s="2">
        <f t="shared" si="37"/>
        <v>0</v>
      </c>
      <c r="M246" s="2">
        <f t="shared" si="37"/>
        <v>0</v>
      </c>
      <c r="N246" s="2">
        <f t="shared" si="37"/>
        <v>1</v>
      </c>
      <c r="O246" s="2">
        <f t="shared" si="37"/>
        <v>2</v>
      </c>
      <c r="P246" s="2">
        <f t="shared" si="37"/>
        <v>5</v>
      </c>
      <c r="Q246" s="2">
        <f t="shared" si="37"/>
        <v>5</v>
      </c>
      <c r="R246" s="2">
        <f t="shared" si="37"/>
        <v>5</v>
      </c>
      <c r="S246" s="2">
        <f t="shared" si="37"/>
        <v>5</v>
      </c>
    </row>
    <row r="247" spans="1:19">
      <c r="A247" t="s">
        <v>331</v>
      </c>
      <c r="B247" s="2">
        <f>IF(B43="No Generator",0,IF(B43="SG 100",1,IF(B43="SG 200",2,IF(B43="SG 300",3,IF(B43="SG 400",4,IF(B43="SG 500",5))))))</f>
        <v>0</v>
      </c>
      <c r="C247" s="2">
        <f t="shared" ref="C247:S247" si="38">IF(C43="No Generator",0,IF(C43="SG 100",1,IF(C43="SG 200",2,IF(C43="SG 300",3,IF(C43="SG 400",4,IF(C43="SG 500",5))))))</f>
        <v>1</v>
      </c>
      <c r="D247" s="2">
        <f t="shared" si="38"/>
        <v>1</v>
      </c>
      <c r="E247" s="2">
        <f t="shared" si="38"/>
        <v>0</v>
      </c>
      <c r="F247" s="2">
        <f t="shared" si="38"/>
        <v>0</v>
      </c>
      <c r="G247" s="2">
        <f t="shared" si="38"/>
        <v>2</v>
      </c>
      <c r="H247" s="2">
        <f t="shared" si="38"/>
        <v>2</v>
      </c>
      <c r="I247" s="2">
        <f t="shared" si="38"/>
        <v>3</v>
      </c>
      <c r="J247" s="2">
        <f t="shared" si="38"/>
        <v>3</v>
      </c>
      <c r="K247" s="2">
        <f t="shared" si="38"/>
        <v>5</v>
      </c>
      <c r="L247" s="2">
        <f t="shared" si="38"/>
        <v>5</v>
      </c>
      <c r="M247" s="2">
        <f t="shared" si="38"/>
        <v>5</v>
      </c>
      <c r="N247" s="2">
        <f t="shared" si="38"/>
        <v>5</v>
      </c>
      <c r="O247" s="2">
        <f t="shared" si="38"/>
        <v>5</v>
      </c>
      <c r="P247" s="2">
        <f t="shared" si="38"/>
        <v>2</v>
      </c>
      <c r="Q247" s="2">
        <f t="shared" si="38"/>
        <v>3</v>
      </c>
      <c r="R247" s="2">
        <f t="shared" si="38"/>
        <v>3</v>
      </c>
      <c r="S247" s="2">
        <f t="shared" si="38"/>
        <v>5</v>
      </c>
    </row>
    <row r="248" spans="1:19">
      <c r="A248" t="s">
        <v>339</v>
      </c>
      <c r="B248" s="11">
        <f>-IF(B246=0,0,IF(B246=1,$B$209*(1),IF(B246=2,$B$209*(1+0.95),IF(B246=3,$B$209*(1+0.95+0.9),IF(B246=4,$B$209*(1+0.95+0.9+0.85),IF(B246=5,$B$209*(1+0.95+0.9+0.85+0.8)))))))</f>
        <v>0</v>
      </c>
      <c r="C248" s="11">
        <f>-IF(C246=0,0,IF(C246=1,$B$209*(1),IF(C246=2,$B$209*(1+0.95),IF(C246=3,$B$209*(1+0.95+0.9),IF(C246=4,$B$209*(1+0.95+0.9+0.85),IF(C246=5,$B$209*(1+0.95+0.9+0.85+0.8)))))))</f>
        <v>0</v>
      </c>
      <c r="D248" s="11">
        <f>-IF(D246=0,0,IF(D246=1,$B$209*(1),IF(D246=2,$B$209*(1+0.95),IF(D246=3,$B$209*(1+0.95+0.9),IF(D246=4,$B$209*(1+0.95+0.9+0.85),IF(D246=5,$B$209*(1+0.95+0.9+0.85+0.8)))))))</f>
        <v>0</v>
      </c>
      <c r="E248" s="11">
        <f>-IF(E246=0,0,IF(E246=1,$B$209*(1),IF(E246=2,$B$209*(1+0.95),IF(E246=3,$B$209*(1+0.95+0.9),IF(E246=4,$B$209*(1+0.95+0.9+0.85),IF(E246=5,$B$209*(1+0.95+0.9+0.85+0.8)))))))</f>
        <v>-560000</v>
      </c>
      <c r="F248" s="11">
        <f t="shared" ref="F248:S248" si="39">-IF(F246=0,0,IF(F246=1,$B$209*(1),IF(F246=2,$B$209*(1+0.95),IF(F246=3,$B$209*(1+0.95+0.9),IF(F246=4,$B$209*(1+0.95+0.9+0.85),IF(F246=5,$B$209*(1+0.95+0.9+0.85+0.8)))))))</f>
        <v>-560000</v>
      </c>
      <c r="G248" s="11">
        <f t="shared" si="39"/>
        <v>0</v>
      </c>
      <c r="H248" s="11">
        <f t="shared" si="39"/>
        <v>0</v>
      </c>
      <c r="I248" s="11">
        <f t="shared" si="39"/>
        <v>0</v>
      </c>
      <c r="J248" s="11">
        <f t="shared" si="39"/>
        <v>-560000</v>
      </c>
      <c r="K248" s="11">
        <f t="shared" si="39"/>
        <v>0</v>
      </c>
      <c r="L248" s="11">
        <f t="shared" si="39"/>
        <v>0</v>
      </c>
      <c r="M248" s="11">
        <f t="shared" si="39"/>
        <v>0</v>
      </c>
      <c r="N248" s="11">
        <f t="shared" si="39"/>
        <v>-560000</v>
      </c>
      <c r="O248" s="11">
        <f t="shared" si="39"/>
        <v>-1092000</v>
      </c>
      <c r="P248" s="11">
        <f t="shared" si="39"/>
        <v>-2520000</v>
      </c>
      <c r="Q248" s="11">
        <f t="shared" si="39"/>
        <v>-2520000</v>
      </c>
      <c r="R248" s="11">
        <f t="shared" si="39"/>
        <v>-2520000</v>
      </c>
      <c r="S248" s="11">
        <f t="shared" si="39"/>
        <v>-2520000</v>
      </c>
    </row>
    <row r="249" spans="1:19">
      <c r="A249" t="s">
        <v>352</v>
      </c>
      <c r="B249" s="11">
        <v>0</v>
      </c>
      <c r="C249" s="11">
        <v>0</v>
      </c>
      <c r="D249" s="11">
        <v>0</v>
      </c>
      <c r="E249" s="11">
        <v>0</v>
      </c>
      <c r="F249" s="11">
        <v>0</v>
      </c>
      <c r="G249" s="11">
        <v>0</v>
      </c>
      <c r="H249" s="11">
        <v>0</v>
      </c>
      <c r="I249" s="11">
        <v>0</v>
      </c>
      <c r="J249" s="11">
        <v>0</v>
      </c>
      <c r="K249" s="11">
        <v>0</v>
      </c>
      <c r="L249" s="11">
        <v>0</v>
      </c>
      <c r="M249" s="11">
        <v>0</v>
      </c>
      <c r="N249" s="11">
        <v>0</v>
      </c>
      <c r="O249" s="11">
        <v>0</v>
      </c>
      <c r="P249" s="11">
        <v>0</v>
      </c>
      <c r="Q249" s="11">
        <v>0</v>
      </c>
      <c r="R249" s="11">
        <v>0</v>
      </c>
      <c r="S249" s="11">
        <v>0</v>
      </c>
    </row>
    <row r="250" spans="1:19">
      <c r="A250" t="s">
        <v>336</v>
      </c>
      <c r="B250" s="11">
        <f>-NPV($B$173,0,0,0,0,0,0,0,0,0,0,875*B247*100)</f>
        <v>0</v>
      </c>
      <c r="C250" s="11">
        <f>-NPV($B$173,0,0,0,0,0,0,0,0,0,0,875*C247*100)</f>
        <v>-63211.861702391681</v>
      </c>
      <c r="D250" s="11">
        <f t="shared" ref="D250:S250" si="40">-NPV($B$173,0,0,0,0,0,0,0,0,0,0,875*D247*100)</f>
        <v>-63211.861702391681</v>
      </c>
      <c r="E250" s="11">
        <f t="shared" si="40"/>
        <v>0</v>
      </c>
      <c r="F250" s="11">
        <f t="shared" si="40"/>
        <v>0</v>
      </c>
      <c r="G250" s="11">
        <f t="shared" si="40"/>
        <v>-126423.72340478336</v>
      </c>
      <c r="H250" s="11">
        <f t="shared" si="40"/>
        <v>-126423.72340478336</v>
      </c>
      <c r="I250" s="11">
        <f t="shared" si="40"/>
        <v>-189635.58510717505</v>
      </c>
      <c r="J250" s="11">
        <f t="shared" si="40"/>
        <v>-189635.58510717505</v>
      </c>
      <c r="K250" s="11">
        <f t="shared" si="40"/>
        <v>-316059.3085119584</v>
      </c>
      <c r="L250" s="11">
        <f t="shared" si="40"/>
        <v>-316059.3085119584</v>
      </c>
      <c r="M250" s="11">
        <f t="shared" si="40"/>
        <v>-316059.3085119584</v>
      </c>
      <c r="N250" s="11">
        <f t="shared" si="40"/>
        <v>-316059.3085119584</v>
      </c>
      <c r="O250" s="11">
        <f t="shared" si="40"/>
        <v>-316059.3085119584</v>
      </c>
      <c r="P250" s="11">
        <f t="shared" si="40"/>
        <v>-126423.72340478336</v>
      </c>
      <c r="Q250" s="11">
        <f t="shared" si="40"/>
        <v>-189635.58510717505</v>
      </c>
      <c r="R250" s="11">
        <f t="shared" si="40"/>
        <v>-189635.58510717505</v>
      </c>
      <c r="S250" s="11">
        <f t="shared" si="40"/>
        <v>-316059.3085119584</v>
      </c>
    </row>
    <row r="251" spans="1:19">
      <c r="A251" t="s">
        <v>340</v>
      </c>
      <c r="B251" s="11">
        <f>-IF(B247=0,0,IF(B247=1,17500*(1),IF(B247=2,17500*(1+0.975),IF(B247=3,17500*(1+0.975+0.95),IF(B247=4,17500*(1+0.975+0.95+0.925),IF(B247=5,17500*(1+0.975+0.95+0.925+0.9)))))))</f>
        <v>0</v>
      </c>
      <c r="C251" s="11">
        <f>-IF(C247=0,0,IF(C247=1,17500*(1),IF(C247=2,17500*(1+0.975),IF(C247=3,17500*(1+0.975+0.95),IF(C247=4,17500*(1+0.975+0.95+0.925),IF(C247=5,17500*(1+0.975+0.95+0.925+0.9)))))))</f>
        <v>-17500</v>
      </c>
      <c r="D251" s="11">
        <f>-IF(D247=0,0,IF(D247=1,17500*(1),IF(D247=2,17500*(1+0.975),IF(D247=3,17500*(1+0.975+0.95),IF(D247=4,17500*(1+0.975+0.95+0.925),IF(D247=5,17500*(1+0.975+0.95+0.925+0.9)))))))</f>
        <v>-17500</v>
      </c>
      <c r="E251" s="11">
        <f>-IF(E247=0,0,IF(E247=1,17500*(1),IF(E247=2,17500*(1+0.975),IF(E247=3,17500*(1+0.975+0.95),IF(E247=4,17500*(1+0.975+0.95+0.925),IF(E247=5,17500*(1+0.975+0.95+0.925+0.9)))))))</f>
        <v>0</v>
      </c>
      <c r="F251" s="11">
        <f t="shared" ref="F251:S251" si="41">-IF(F247=0,0,IF(F247=1,17500*(1),IF(F247=2,17500*(1+0.975),IF(F247=3,17500*(1+0.975+0.95),IF(F247=4,17500*(1+0.975+0.95+0.925),IF(F247=5,17500*(1+0.975+0.95+0.925+0.9)))))))</f>
        <v>0</v>
      </c>
      <c r="G251" s="11">
        <f t="shared" si="41"/>
        <v>-34562.5</v>
      </c>
      <c r="H251" s="11">
        <f t="shared" si="41"/>
        <v>-34562.5</v>
      </c>
      <c r="I251" s="11">
        <f t="shared" si="41"/>
        <v>-51187.5</v>
      </c>
      <c r="J251" s="11">
        <f t="shared" si="41"/>
        <v>-51187.5</v>
      </c>
      <c r="K251" s="11">
        <f t="shared" si="41"/>
        <v>-83125</v>
      </c>
      <c r="L251" s="11">
        <f t="shared" si="41"/>
        <v>-83125</v>
      </c>
      <c r="M251" s="11">
        <f t="shared" si="41"/>
        <v>-83125</v>
      </c>
      <c r="N251" s="11">
        <f t="shared" si="41"/>
        <v>-83125</v>
      </c>
      <c r="O251" s="11">
        <f t="shared" si="41"/>
        <v>-83125</v>
      </c>
      <c r="P251" s="11">
        <f t="shared" si="41"/>
        <v>-34562.5</v>
      </c>
      <c r="Q251" s="11">
        <f t="shared" si="41"/>
        <v>-51187.5</v>
      </c>
      <c r="R251" s="11">
        <f t="shared" si="41"/>
        <v>-51187.5</v>
      </c>
      <c r="S251" s="11">
        <f t="shared" si="41"/>
        <v>-83125</v>
      </c>
    </row>
    <row r="252" spans="1:19">
      <c r="A252" t="s">
        <v>341</v>
      </c>
      <c r="B252" s="11">
        <f t="shared" ref="B252:O252" si="42">-B247*$B$211*24*365</f>
        <v>0</v>
      </c>
      <c r="C252" s="11">
        <f t="shared" si="42"/>
        <v>-4730.4000000000005</v>
      </c>
      <c r="D252" s="11">
        <f t="shared" si="42"/>
        <v>-4730.4000000000005</v>
      </c>
      <c r="E252" s="11">
        <f t="shared" si="42"/>
        <v>0</v>
      </c>
      <c r="F252" s="11">
        <f t="shared" si="42"/>
        <v>0</v>
      </c>
      <c r="G252" s="11">
        <f t="shared" si="42"/>
        <v>-9460.8000000000011</v>
      </c>
      <c r="H252" s="11">
        <f t="shared" si="42"/>
        <v>-9460.8000000000011</v>
      </c>
      <c r="I252" s="11">
        <f t="shared" si="42"/>
        <v>-14191.2</v>
      </c>
      <c r="J252" s="11">
        <f t="shared" si="42"/>
        <v>-14191.2</v>
      </c>
      <c r="K252" s="11">
        <f t="shared" si="42"/>
        <v>-23652.000000000004</v>
      </c>
      <c r="L252" s="11">
        <f t="shared" si="42"/>
        <v>-23652.000000000004</v>
      </c>
      <c r="M252" s="11">
        <f t="shared" si="42"/>
        <v>-23652.000000000004</v>
      </c>
      <c r="N252" s="11">
        <f t="shared" si="42"/>
        <v>-23652.000000000004</v>
      </c>
      <c r="O252" s="11">
        <f t="shared" si="42"/>
        <v>-23652.000000000004</v>
      </c>
      <c r="P252" s="11">
        <f>-P247*$B$211*24*365</f>
        <v>-9460.8000000000011</v>
      </c>
      <c r="Q252" s="11">
        <f>-Q247*$B$211*24*365</f>
        <v>-14191.2</v>
      </c>
      <c r="R252" s="11">
        <f>-R247*$B$211*24*365</f>
        <v>-14191.2</v>
      </c>
      <c r="S252" s="11">
        <f>-S247*$B$211*24*365</f>
        <v>-23652.000000000004</v>
      </c>
    </row>
    <row r="253" spans="1:19">
      <c r="B253" s="2"/>
      <c r="C253" s="2"/>
      <c r="D253" s="2"/>
      <c r="E253" s="2"/>
      <c r="F253" s="2"/>
      <c r="G253" s="2"/>
      <c r="H253" s="2"/>
      <c r="I253" s="2"/>
      <c r="J253" s="2"/>
      <c r="K253" s="2"/>
      <c r="L253" s="2"/>
      <c r="M253" s="2"/>
      <c r="N253" s="2"/>
      <c r="O253" s="2"/>
      <c r="P253" s="2"/>
      <c r="Q253" s="2"/>
      <c r="R253" s="2"/>
      <c r="S253" s="2"/>
    </row>
    <row r="254" spans="1:19">
      <c r="A254" t="s">
        <v>337</v>
      </c>
      <c r="B254" s="2"/>
      <c r="C254" s="2"/>
      <c r="D254" s="2"/>
      <c r="E254" s="2"/>
      <c r="F254" s="2"/>
      <c r="G254" s="2"/>
      <c r="H254" s="2"/>
      <c r="I254" s="2"/>
      <c r="J254" s="2"/>
      <c r="K254" s="2"/>
      <c r="L254" s="2"/>
      <c r="M254" s="2"/>
      <c r="N254" s="2"/>
      <c r="O254" s="2"/>
    </row>
    <row r="255" spans="1:19">
      <c r="A255" t="s">
        <v>100</v>
      </c>
      <c r="B255" s="2"/>
      <c r="C255" s="2"/>
      <c r="D255" s="2"/>
      <c r="E255" s="2"/>
      <c r="F255" s="2"/>
      <c r="G255" s="2"/>
      <c r="H255" s="2"/>
      <c r="I255" s="2"/>
      <c r="J255" s="2"/>
      <c r="K255" s="2"/>
      <c r="L255" s="2"/>
      <c r="M255" s="2"/>
      <c r="N255" s="2"/>
      <c r="O255" s="2"/>
    </row>
    <row r="256" spans="1:19">
      <c r="A256">
        <v>1</v>
      </c>
      <c r="B256" s="11">
        <f t="shared" ref="B256:O256" si="43">SUM(B237:B240,B230:B233,B251:B252)</f>
        <v>-194960.32238129011</v>
      </c>
      <c r="C256" s="11">
        <f t="shared" si="43"/>
        <v>-203138.56218023907</v>
      </c>
      <c r="D256" s="11">
        <f t="shared" si="43"/>
        <v>-208215.13352568253</v>
      </c>
      <c r="E256" s="11">
        <f t="shared" si="43"/>
        <v>-181612.50649910653</v>
      </c>
      <c r="F256" s="11">
        <f t="shared" si="43"/>
        <v>-183769.76312200731</v>
      </c>
      <c r="G256" s="11">
        <f t="shared" si="43"/>
        <v>-230843.04679196997</v>
      </c>
      <c r="H256" s="11">
        <f t="shared" si="43"/>
        <v>-226965.99706218991</v>
      </c>
      <c r="I256" s="11">
        <f t="shared" si="43"/>
        <v>-246341.89662128003</v>
      </c>
      <c r="J256" s="11">
        <f t="shared" si="43"/>
        <v>-243218.37053757309</v>
      </c>
      <c r="K256" s="11">
        <f t="shared" si="43"/>
        <v>-287209.90896410134</v>
      </c>
      <c r="L256" s="11">
        <f t="shared" si="43"/>
        <v>-289879.68176357867</v>
      </c>
      <c r="M256" s="11">
        <f t="shared" si="43"/>
        <v>-290226.76142378605</v>
      </c>
      <c r="N256" s="11">
        <f t="shared" si="43"/>
        <v>-280615.95369240845</v>
      </c>
      <c r="O256" s="11">
        <f t="shared" si="43"/>
        <v>-277234.61916464136</v>
      </c>
      <c r="P256" s="11">
        <f>SUM(P237:P240,P230:P233,P251:P252)</f>
        <v>-213552.72549487679</v>
      </c>
      <c r="Q256" s="11">
        <f>SUM(Q237:Q240,Q230:Q233,Q251:Q252)</f>
        <v>-235104.26415398304</v>
      </c>
      <c r="R256" s="11">
        <f>SUM(R237:R240,R230:R233,R251:R252)</f>
        <v>-237256.7417091426</v>
      </c>
      <c r="S256" s="11">
        <f>SUM(S237:S240,S230:S233,S251:S252)</f>
        <v>-277311.17604209308</v>
      </c>
    </row>
    <row r="257" spans="1:19">
      <c r="A257">
        <v>2</v>
      </c>
      <c r="B257" s="11">
        <f t="shared" ref="B257:H266" si="44">B$256/((1+$B$173)^$A257)</f>
        <v>-183768.802320002</v>
      </c>
      <c r="C257" s="11">
        <f t="shared" si="44"/>
        <v>-191477.57769840615</v>
      </c>
      <c r="D257" s="11">
        <f t="shared" si="44"/>
        <v>-196262.73308104678</v>
      </c>
      <c r="E257" s="11">
        <f t="shared" si="44"/>
        <v>-171187.20567358521</v>
      </c>
      <c r="F257" s="11">
        <f t="shared" si="44"/>
        <v>-173220.62694128318</v>
      </c>
      <c r="G257" s="11">
        <f t="shared" si="44"/>
        <v>-217591.71155808275</v>
      </c>
      <c r="H257" s="11">
        <f t="shared" si="44"/>
        <v>-213937.22034328393</v>
      </c>
      <c r="I257" s="11">
        <f t="shared" ref="I257:S266" si="45">I$256/((1+$B$173)^$A257)</f>
        <v>-232200.8640034688</v>
      </c>
      <c r="J257" s="11">
        <f t="shared" si="45"/>
        <v>-229256.64109489406</v>
      </c>
      <c r="K257" s="11">
        <f t="shared" si="45"/>
        <v>-270722.88525223994</v>
      </c>
      <c r="L257" s="11">
        <f t="shared" si="45"/>
        <v>-273239.40217134386</v>
      </c>
      <c r="M257" s="11">
        <f t="shared" si="45"/>
        <v>-273566.55803919886</v>
      </c>
      <c r="N257" s="11">
        <f t="shared" si="45"/>
        <v>-264507.44998813129</v>
      </c>
      <c r="O257" s="11">
        <f t="shared" si="45"/>
        <v>-261320.21789484529</v>
      </c>
      <c r="P257" s="11">
        <f t="shared" si="45"/>
        <v>-201293.92543583448</v>
      </c>
      <c r="Q257" s="11">
        <f t="shared" si="45"/>
        <v>-221608.31761144599</v>
      </c>
      <c r="R257" s="11">
        <f t="shared" si="45"/>
        <v>-223637.23414944162</v>
      </c>
      <c r="S257" s="11">
        <f t="shared" si="45"/>
        <v>-261392.38009434735</v>
      </c>
    </row>
    <row r="258" spans="1:19">
      <c r="A258">
        <v>3</v>
      </c>
      <c r="B258" s="11">
        <f t="shared" si="44"/>
        <v>-178416.31293204078</v>
      </c>
      <c r="C258" s="11">
        <f t="shared" si="44"/>
        <v>-185900.56087223897</v>
      </c>
      <c r="D258" s="11">
        <f t="shared" si="44"/>
        <v>-190546.34279713279</v>
      </c>
      <c r="E258" s="11">
        <f t="shared" si="44"/>
        <v>-166201.17055687882</v>
      </c>
      <c r="F258" s="11">
        <f t="shared" si="44"/>
        <v>-168175.36596241084</v>
      </c>
      <c r="G258" s="11">
        <f t="shared" si="44"/>
        <v>-211254.08889134246</v>
      </c>
      <c r="H258" s="11">
        <f t="shared" si="44"/>
        <v>-207706.03916823681</v>
      </c>
      <c r="I258" s="11">
        <f t="shared" si="45"/>
        <v>-225437.7320422027</v>
      </c>
      <c r="J258" s="11">
        <f t="shared" si="45"/>
        <v>-222579.26319892626</v>
      </c>
      <c r="K258" s="11">
        <f t="shared" si="45"/>
        <v>-262837.75267207762</v>
      </c>
      <c r="L258" s="11">
        <f t="shared" si="45"/>
        <v>-265280.97298188723</v>
      </c>
      <c r="M258" s="11">
        <f t="shared" si="45"/>
        <v>-265598.60003805713</v>
      </c>
      <c r="N258" s="11">
        <f t="shared" si="45"/>
        <v>-256803.34950304005</v>
      </c>
      <c r="O258" s="11">
        <f t="shared" si="45"/>
        <v>-253708.94941247115</v>
      </c>
      <c r="P258" s="11">
        <f t="shared" si="45"/>
        <v>-195430.99556877132</v>
      </c>
      <c r="Q258" s="11">
        <f t="shared" si="45"/>
        <v>-215153.70641887959</v>
      </c>
      <c r="R258" s="11">
        <f t="shared" si="45"/>
        <v>-217123.52830042873</v>
      </c>
      <c r="S258" s="11">
        <f t="shared" si="45"/>
        <v>-253779.0098003372</v>
      </c>
    </row>
    <row r="259" spans="1:19">
      <c r="A259">
        <v>4</v>
      </c>
      <c r="B259" s="11">
        <f t="shared" si="44"/>
        <v>-173219.72129324346</v>
      </c>
      <c r="C259" s="11">
        <f t="shared" si="44"/>
        <v>-180485.98142935825</v>
      </c>
      <c r="D259" s="11">
        <f t="shared" si="44"/>
        <v>-184996.44931760468</v>
      </c>
      <c r="E259" s="11">
        <f t="shared" si="44"/>
        <v>-161360.35976396003</v>
      </c>
      <c r="F259" s="11">
        <f t="shared" si="44"/>
        <v>-163277.05433243772</v>
      </c>
      <c r="G259" s="11">
        <f t="shared" si="44"/>
        <v>-205101.05717606065</v>
      </c>
      <c r="H259" s="11">
        <f t="shared" si="44"/>
        <v>-201656.34870702605</v>
      </c>
      <c r="I259" s="11">
        <f t="shared" si="45"/>
        <v>-218871.58450699292</v>
      </c>
      <c r="J259" s="11">
        <f t="shared" si="45"/>
        <v>-216096.37203779249</v>
      </c>
      <c r="K259" s="11">
        <f t="shared" si="45"/>
        <v>-255182.28414764817</v>
      </c>
      <c r="L259" s="11">
        <f t="shared" si="45"/>
        <v>-257554.34270086139</v>
      </c>
      <c r="M259" s="11">
        <f t="shared" si="45"/>
        <v>-257862.71848355062</v>
      </c>
      <c r="N259" s="11">
        <f t="shared" si="45"/>
        <v>-249323.64029421366</v>
      </c>
      <c r="O259" s="11">
        <f t="shared" si="45"/>
        <v>-246319.3683616225</v>
      </c>
      <c r="P259" s="11">
        <f t="shared" si="45"/>
        <v>-189738.83064929256</v>
      </c>
      <c r="Q259" s="11">
        <f t="shared" si="45"/>
        <v>-208887.09361056273</v>
      </c>
      <c r="R259" s="11">
        <f t="shared" si="45"/>
        <v>-210799.54203925122</v>
      </c>
      <c r="S259" s="11">
        <f t="shared" si="45"/>
        <v>-246387.38815566723</v>
      </c>
    </row>
    <row r="260" spans="1:19">
      <c r="A260">
        <v>5</v>
      </c>
      <c r="B260" s="11">
        <f t="shared" si="44"/>
        <v>-168174.48669246939</v>
      </c>
      <c r="C260" s="11">
        <f t="shared" si="44"/>
        <v>-175229.10818384297</v>
      </c>
      <c r="D260" s="11">
        <f t="shared" si="44"/>
        <v>-179608.20322097541</v>
      </c>
      <c r="E260" s="11">
        <f t="shared" si="44"/>
        <v>-156660.5434601554</v>
      </c>
      <c r="F260" s="11">
        <f t="shared" si="44"/>
        <v>-158521.41197324052</v>
      </c>
      <c r="G260" s="11">
        <f t="shared" si="44"/>
        <v>-199127.23997675793</v>
      </c>
      <c r="H260" s="11">
        <f t="shared" si="44"/>
        <v>-195782.86282235541</v>
      </c>
      <c r="I260" s="11">
        <f t="shared" si="45"/>
        <v>-212496.6839873718</v>
      </c>
      <c r="J260" s="11">
        <f t="shared" si="45"/>
        <v>-209802.30294931313</v>
      </c>
      <c r="K260" s="11">
        <f t="shared" si="45"/>
        <v>-247749.79043460989</v>
      </c>
      <c r="L260" s="11">
        <f t="shared" si="45"/>
        <v>-250052.75990374893</v>
      </c>
      <c r="M260" s="11">
        <f t="shared" si="45"/>
        <v>-250352.1538675249</v>
      </c>
      <c r="N260" s="11">
        <f t="shared" si="45"/>
        <v>-242061.78669341136</v>
      </c>
      <c r="O260" s="11">
        <f t="shared" si="45"/>
        <v>-239145.01782681796</v>
      </c>
      <c r="P260" s="11">
        <f t="shared" si="45"/>
        <v>-184212.45694106075</v>
      </c>
      <c r="Q260" s="11">
        <f t="shared" si="45"/>
        <v>-202803.0035054007</v>
      </c>
      <c r="R260" s="11">
        <f t="shared" si="45"/>
        <v>-204659.7495526711</v>
      </c>
      <c r="S260" s="11">
        <f t="shared" si="45"/>
        <v>-239211.05646181284</v>
      </c>
    </row>
    <row r="261" spans="1:19">
      <c r="A261">
        <v>6</v>
      </c>
      <c r="B261" s="11">
        <f t="shared" si="44"/>
        <v>-163276.20067230039</v>
      </c>
      <c r="C261" s="11">
        <f t="shared" si="44"/>
        <v>-170125.34775130384</v>
      </c>
      <c r="D261" s="11">
        <f t="shared" si="44"/>
        <v>-174376.89633104409</v>
      </c>
      <c r="E261" s="11">
        <f t="shared" si="44"/>
        <v>-152097.61500985958</v>
      </c>
      <c r="F261" s="11">
        <f t="shared" si="44"/>
        <v>-153904.28346916553</v>
      </c>
      <c r="G261" s="11">
        <f t="shared" si="44"/>
        <v>-193327.41745316304</v>
      </c>
      <c r="H261" s="11">
        <f t="shared" si="44"/>
        <v>-190080.44934209262</v>
      </c>
      <c r="I261" s="11">
        <f t="shared" si="45"/>
        <v>-206307.46018191436</v>
      </c>
      <c r="J261" s="11">
        <f t="shared" si="45"/>
        <v>-203691.55626146903</v>
      </c>
      <c r="K261" s="11">
        <f t="shared" si="45"/>
        <v>-240533.77712098046</v>
      </c>
      <c r="L261" s="11">
        <f t="shared" si="45"/>
        <v>-242769.66980946498</v>
      </c>
      <c r="M261" s="11">
        <f t="shared" si="45"/>
        <v>-243060.34356070377</v>
      </c>
      <c r="N261" s="11">
        <f t="shared" si="45"/>
        <v>-235011.44339166148</v>
      </c>
      <c r="O261" s="11">
        <f t="shared" si="45"/>
        <v>-232179.62895807569</v>
      </c>
      <c r="P261" s="11">
        <f t="shared" si="45"/>
        <v>-178847.04557384539</v>
      </c>
      <c r="Q261" s="11">
        <f t="shared" si="45"/>
        <v>-196896.11990815602</v>
      </c>
      <c r="R261" s="11">
        <f t="shared" si="45"/>
        <v>-198698.78597346708</v>
      </c>
      <c r="S261" s="11">
        <f t="shared" si="45"/>
        <v>-232243.74413768237</v>
      </c>
    </row>
    <row r="262" spans="1:19">
      <c r="A262">
        <v>7</v>
      </c>
      <c r="B262" s="11">
        <f t="shared" si="44"/>
        <v>-158520.58317699065</v>
      </c>
      <c r="C262" s="11">
        <f t="shared" si="44"/>
        <v>-165170.24053524641</v>
      </c>
      <c r="D262" s="11">
        <f t="shared" si="44"/>
        <v>-169297.9576029554</v>
      </c>
      <c r="E262" s="11">
        <f t="shared" si="44"/>
        <v>-147667.58738821317</v>
      </c>
      <c r="F262" s="11">
        <f t="shared" si="44"/>
        <v>-149421.63443608303</v>
      </c>
      <c r="G262" s="11">
        <f t="shared" si="44"/>
        <v>-187696.52179918741</v>
      </c>
      <c r="H262" s="11">
        <f t="shared" si="44"/>
        <v>-184544.12557484719</v>
      </c>
      <c r="I262" s="11">
        <f t="shared" si="45"/>
        <v>-200298.50503098479</v>
      </c>
      <c r="J262" s="11">
        <f t="shared" si="45"/>
        <v>-197758.79248686312</v>
      </c>
      <c r="K262" s="11">
        <f t="shared" si="45"/>
        <v>-233527.93895240821</v>
      </c>
      <c r="L262" s="11">
        <f t="shared" si="45"/>
        <v>-235698.70855287861</v>
      </c>
      <c r="M262" s="11">
        <f t="shared" si="45"/>
        <v>-235980.91607835316</v>
      </c>
      <c r="N262" s="11">
        <f t="shared" si="45"/>
        <v>-228166.44989481696</v>
      </c>
      <c r="O262" s="11">
        <f t="shared" si="45"/>
        <v>-225417.11549327735</v>
      </c>
      <c r="P262" s="11">
        <f t="shared" si="45"/>
        <v>-173637.90832412173</v>
      </c>
      <c r="Q262" s="11">
        <f t="shared" si="45"/>
        <v>-191161.28146422913</v>
      </c>
      <c r="R262" s="11">
        <f t="shared" si="45"/>
        <v>-192911.44269268648</v>
      </c>
      <c r="S262" s="11">
        <f t="shared" si="45"/>
        <v>-225479.36324046829</v>
      </c>
    </row>
    <row r="263" spans="1:19">
      <c r="A263">
        <v>8</v>
      </c>
      <c r="B263" s="11">
        <f t="shared" si="44"/>
        <v>-153903.4788126123</v>
      </c>
      <c r="C263" s="11">
        <f t="shared" si="44"/>
        <v>-160359.45683033636</v>
      </c>
      <c r="D263" s="11">
        <f t="shared" si="44"/>
        <v>-164366.94912908293</v>
      </c>
      <c r="E263" s="11">
        <f t="shared" si="44"/>
        <v>-143366.58969729437</v>
      </c>
      <c r="F263" s="11">
        <f t="shared" si="44"/>
        <v>-145069.54799619713</v>
      </c>
      <c r="G263" s="11">
        <f t="shared" si="44"/>
        <v>-182229.63281474507</v>
      </c>
      <c r="H263" s="11">
        <f t="shared" si="44"/>
        <v>-179169.05395616233</v>
      </c>
      <c r="I263" s="11">
        <f t="shared" si="45"/>
        <v>-194464.5679912474</v>
      </c>
      <c r="J263" s="11">
        <f t="shared" si="45"/>
        <v>-191998.82765714868</v>
      </c>
      <c r="K263" s="11">
        <f t="shared" si="45"/>
        <v>-226726.15432272645</v>
      </c>
      <c r="L263" s="11">
        <f t="shared" si="45"/>
        <v>-228833.69762415401</v>
      </c>
      <c r="M263" s="11">
        <f t="shared" si="45"/>
        <v>-229107.68551296426</v>
      </c>
      <c r="N263" s="11">
        <f t="shared" si="45"/>
        <v>-221520.82514059902</v>
      </c>
      <c r="O263" s="11">
        <f t="shared" si="45"/>
        <v>-218851.56844007512</v>
      </c>
      <c r="P263" s="11">
        <f t="shared" si="45"/>
        <v>-168580.49351856479</v>
      </c>
      <c r="Q263" s="11">
        <f t="shared" si="45"/>
        <v>-185593.47714973704</v>
      </c>
      <c r="R263" s="11">
        <f t="shared" si="45"/>
        <v>-187292.6628084335</v>
      </c>
      <c r="S263" s="11">
        <f t="shared" si="45"/>
        <v>-218912.00314608574</v>
      </c>
    </row>
    <row r="264" spans="1:19">
      <c r="A264">
        <v>9</v>
      </c>
      <c r="B264" s="11">
        <f t="shared" si="44"/>
        <v>-149420.85321612845</v>
      </c>
      <c r="C264" s="11">
        <f t="shared" si="44"/>
        <v>-155688.79303916151</v>
      </c>
      <c r="D264" s="11">
        <f t="shared" si="44"/>
        <v>-159579.56226124556</v>
      </c>
      <c r="E264" s="11">
        <f t="shared" si="44"/>
        <v>-139190.86378378095</v>
      </c>
      <c r="F264" s="11">
        <f t="shared" si="44"/>
        <v>-140844.22135553119</v>
      </c>
      <c r="G264" s="11">
        <f t="shared" si="44"/>
        <v>-176921.97360654859</v>
      </c>
      <c r="H264" s="11">
        <f t="shared" si="44"/>
        <v>-173950.53782151683</v>
      </c>
      <c r="I264" s="11">
        <f t="shared" si="45"/>
        <v>-188800.55144781299</v>
      </c>
      <c r="J264" s="11">
        <f t="shared" si="45"/>
        <v>-186406.62879334824</v>
      </c>
      <c r="K264" s="11">
        <f t="shared" si="45"/>
        <v>-220122.47992497712</v>
      </c>
      <c r="L264" s="11">
        <f t="shared" si="45"/>
        <v>-222168.63847005242</v>
      </c>
      <c r="M264" s="11">
        <f t="shared" si="45"/>
        <v>-222434.6461290915</v>
      </c>
      <c r="N264" s="11">
        <f t="shared" si="45"/>
        <v>-215068.76227242622</v>
      </c>
      <c r="O264" s="11">
        <f t="shared" si="45"/>
        <v>-212477.25091269429</v>
      </c>
      <c r="P264" s="11">
        <f t="shared" si="45"/>
        <v>-163670.38205685903</v>
      </c>
      <c r="Q264" s="11">
        <f t="shared" si="45"/>
        <v>-180187.84189294858</v>
      </c>
      <c r="R264" s="11">
        <f t="shared" si="45"/>
        <v>-181837.53670721699</v>
      </c>
      <c r="S264" s="11">
        <f t="shared" si="45"/>
        <v>-212535.92538454928</v>
      </c>
    </row>
    <row r="265" spans="1:19">
      <c r="A265">
        <v>10</v>
      </c>
      <c r="B265" s="11">
        <f t="shared" si="44"/>
        <v>-145068.78953022178</v>
      </c>
      <c r="C265" s="11">
        <f t="shared" si="44"/>
        <v>-151154.16799918591</v>
      </c>
      <c r="D265" s="11">
        <f t="shared" si="44"/>
        <v>-154931.61384586949</v>
      </c>
      <c r="E265" s="11">
        <f t="shared" si="44"/>
        <v>-135136.76095512713</v>
      </c>
      <c r="F265" s="11">
        <f t="shared" si="44"/>
        <v>-136741.96248109825</v>
      </c>
      <c r="G265" s="11">
        <f t="shared" si="44"/>
        <v>-171768.90641412485</v>
      </c>
      <c r="H265" s="11">
        <f t="shared" si="44"/>
        <v>-168884.01730244351</v>
      </c>
      <c r="I265" s="11">
        <f t="shared" si="45"/>
        <v>-183301.50626001263</v>
      </c>
      <c r="J265" s="11">
        <f t="shared" si="45"/>
        <v>-180977.3095081051</v>
      </c>
      <c r="K265" s="11">
        <f t="shared" si="45"/>
        <v>-213711.1455582302</v>
      </c>
      <c r="L265" s="11">
        <f t="shared" si="45"/>
        <v>-215697.70725247808</v>
      </c>
      <c r="M265" s="11">
        <f t="shared" si="45"/>
        <v>-215955.96711562283</v>
      </c>
      <c r="N265" s="11">
        <f t="shared" si="45"/>
        <v>-208804.62356546236</v>
      </c>
      <c r="O265" s="11">
        <f t="shared" si="45"/>
        <v>-206288.59311912066</v>
      </c>
      <c r="P265" s="11">
        <f t="shared" si="45"/>
        <v>-158903.28355034857</v>
      </c>
      <c r="Q265" s="11">
        <f t="shared" si="45"/>
        <v>-174939.65232325107</v>
      </c>
      <c r="R265" s="11">
        <f t="shared" si="45"/>
        <v>-176541.29777399707</v>
      </c>
      <c r="S265" s="11">
        <f t="shared" si="45"/>
        <v>-206345.558625776</v>
      </c>
    </row>
    <row r="266" spans="1:19">
      <c r="A266">
        <v>11</v>
      </c>
      <c r="B266" s="11">
        <f t="shared" si="44"/>
        <v>-140843.48498079786</v>
      </c>
      <c r="C266" s="11">
        <f t="shared" si="44"/>
        <v>-146751.61941668537</v>
      </c>
      <c r="D266" s="11">
        <f t="shared" si="44"/>
        <v>-150419.04256880531</v>
      </c>
      <c r="E266" s="11">
        <f t="shared" si="44"/>
        <v>-131200.73879138555</v>
      </c>
      <c r="F266" s="11">
        <f t="shared" si="44"/>
        <v>-132759.18687485266</v>
      </c>
      <c r="G266" s="11">
        <f t="shared" si="44"/>
        <v>-166765.92855740277</v>
      </c>
      <c r="H266" s="11">
        <f t="shared" si="44"/>
        <v>-163965.06534217816</v>
      </c>
      <c r="I266" s="11">
        <f t="shared" si="45"/>
        <v>-177962.62743690546</v>
      </c>
      <c r="J266" s="11">
        <f t="shared" si="45"/>
        <v>-175706.12573602435</v>
      </c>
      <c r="K266" s="11">
        <f t="shared" si="45"/>
        <v>-207486.5490856604</v>
      </c>
      <c r="L266" s="11">
        <f t="shared" si="45"/>
        <v>-209415.24975968746</v>
      </c>
      <c r="M266" s="11">
        <f t="shared" si="45"/>
        <v>-209665.98749089593</v>
      </c>
      <c r="N266" s="11">
        <f t="shared" si="45"/>
        <v>-202722.93550044889</v>
      </c>
      <c r="O266" s="11">
        <f t="shared" si="45"/>
        <v>-200280.18749429189</v>
      </c>
      <c r="P266" s="11">
        <f t="shared" si="45"/>
        <v>-154275.03257315393</v>
      </c>
      <c r="Q266" s="11">
        <f t="shared" si="45"/>
        <v>-169844.32264393306</v>
      </c>
      <c r="R266" s="11">
        <f t="shared" si="45"/>
        <v>-171399.31822718162</v>
      </c>
      <c r="S266" s="11">
        <f t="shared" si="45"/>
        <v>-200335.493811433</v>
      </c>
    </row>
    <row r="267" spans="1:19">
      <c r="A267">
        <v>12</v>
      </c>
      <c r="B267" s="11">
        <f t="shared" ref="B267:H275" si="46">B$256/((1+$B$173)^$A267)</f>
        <v>-136741.2475541727</v>
      </c>
      <c r="C267" s="11">
        <f t="shared" si="46"/>
        <v>-142477.30040454891</v>
      </c>
      <c r="D267" s="11">
        <f t="shared" si="46"/>
        <v>-146037.90540660714</v>
      </c>
      <c r="E267" s="11">
        <f t="shared" si="46"/>
        <v>-127379.35804988891</v>
      </c>
      <c r="F267" s="11">
        <f t="shared" si="46"/>
        <v>-128892.41444160455</v>
      </c>
      <c r="G267" s="11">
        <f t="shared" si="46"/>
        <v>-161908.66850233282</v>
      </c>
      <c r="H267" s="11">
        <f t="shared" si="46"/>
        <v>-159189.38382735747</v>
      </c>
      <c r="I267" s="11">
        <f t="shared" ref="I267:S275" si="47">I$256/((1+$B$173)^$A267)</f>
        <v>-172779.24993874319</v>
      </c>
      <c r="J267" s="11">
        <f t="shared" si="47"/>
        <v>-170588.47158837318</v>
      </c>
      <c r="K267" s="11">
        <f t="shared" si="47"/>
        <v>-201443.25153947613</v>
      </c>
      <c r="L267" s="11">
        <f t="shared" si="47"/>
        <v>-203315.77646571602</v>
      </c>
      <c r="M267" s="11">
        <f t="shared" si="47"/>
        <v>-203559.21115620967</v>
      </c>
      <c r="N267" s="11">
        <f t="shared" si="47"/>
        <v>-196818.38398101836</v>
      </c>
      <c r="O267" s="11">
        <f t="shared" si="47"/>
        <v>-194446.78397504071</v>
      </c>
      <c r="P267" s="11">
        <f t="shared" si="47"/>
        <v>-149781.58502247959</v>
      </c>
      <c r="Q267" s="11">
        <f t="shared" si="47"/>
        <v>-164897.40062517775</v>
      </c>
      <c r="R267" s="11">
        <f t="shared" si="47"/>
        <v>-166407.10507493364</v>
      </c>
      <c r="S267" s="11">
        <f t="shared" si="47"/>
        <v>-194500.47942857575</v>
      </c>
    </row>
    <row r="268" spans="1:19">
      <c r="A268">
        <v>13</v>
      </c>
      <c r="B268" s="11">
        <f t="shared" si="46"/>
        <v>-132758.49277104146</v>
      </c>
      <c r="C268" s="11">
        <f t="shared" si="46"/>
        <v>-138327.47612092129</v>
      </c>
      <c r="D268" s="11">
        <f t="shared" si="46"/>
        <v>-141784.37418117197</v>
      </c>
      <c r="E268" s="11">
        <f t="shared" si="46"/>
        <v>-123669.27966008632</v>
      </c>
      <c r="F268" s="11">
        <f t="shared" si="46"/>
        <v>-125138.26644815976</v>
      </c>
      <c r="G268" s="11">
        <f t="shared" si="46"/>
        <v>-157192.88204109983</v>
      </c>
      <c r="H268" s="11">
        <f t="shared" si="46"/>
        <v>-154552.79983238591</v>
      </c>
      <c r="I268" s="11">
        <f t="shared" si="47"/>
        <v>-167746.84460072155</v>
      </c>
      <c r="J268" s="11">
        <f t="shared" si="47"/>
        <v>-165619.87532851766</v>
      </c>
      <c r="K268" s="11">
        <f t="shared" si="47"/>
        <v>-195575.97236842345</v>
      </c>
      <c r="L268" s="11">
        <f t="shared" si="47"/>
        <v>-197393.95773370488</v>
      </c>
      <c r="M268" s="11">
        <f t="shared" si="47"/>
        <v>-197630.30209340746</v>
      </c>
      <c r="N268" s="11">
        <f t="shared" si="47"/>
        <v>-191085.80969030911</v>
      </c>
      <c r="O268" s="11">
        <f t="shared" si="47"/>
        <v>-188783.28541266089</v>
      </c>
      <c r="P268" s="11">
        <f t="shared" si="47"/>
        <v>-145419.01458493163</v>
      </c>
      <c r="Q268" s="11">
        <f t="shared" si="47"/>
        <v>-160094.5637137648</v>
      </c>
      <c r="R268" s="11">
        <f t="shared" si="47"/>
        <v>-161560.29618925595</v>
      </c>
      <c r="S268" s="11">
        <f t="shared" si="47"/>
        <v>-188835.41692094735</v>
      </c>
    </row>
    <row r="269" spans="1:19">
      <c r="A269">
        <v>14</v>
      </c>
      <c r="B269" s="11">
        <f t="shared" si="46"/>
        <v>-128891.74055440916</v>
      </c>
      <c r="C269" s="11">
        <f t="shared" si="46"/>
        <v>-134298.52050574881</v>
      </c>
      <c r="D269" s="11">
        <f t="shared" si="46"/>
        <v>-137654.73221473006</v>
      </c>
      <c r="E269" s="11">
        <f t="shared" si="46"/>
        <v>-120067.26180590903</v>
      </c>
      <c r="F269" s="11">
        <f t="shared" si="46"/>
        <v>-121493.46257102888</v>
      </c>
      <c r="G269" s="11">
        <f t="shared" si="46"/>
        <v>-152614.44858359205</v>
      </c>
      <c r="H269" s="11">
        <f t="shared" si="46"/>
        <v>-150051.26197319018</v>
      </c>
      <c r="I269" s="11">
        <f t="shared" si="47"/>
        <v>-162861.01417545779</v>
      </c>
      <c r="J269" s="11">
        <f t="shared" si="47"/>
        <v>-160795.99546458022</v>
      </c>
      <c r="K269" s="11">
        <f t="shared" si="47"/>
        <v>-189879.58482371207</v>
      </c>
      <c r="L269" s="11">
        <f t="shared" si="47"/>
        <v>-191644.61915893675</v>
      </c>
      <c r="M269" s="11">
        <f t="shared" si="47"/>
        <v>-191874.07970233733</v>
      </c>
      <c r="N269" s="11">
        <f t="shared" si="47"/>
        <v>-185520.20358282435</v>
      </c>
      <c r="O269" s="11">
        <f t="shared" si="47"/>
        <v>-183284.74311908823</v>
      </c>
      <c r="P269" s="11">
        <f t="shared" si="47"/>
        <v>-141183.50930575887</v>
      </c>
      <c r="Q269" s="11">
        <f t="shared" si="47"/>
        <v>-155431.61525608232</v>
      </c>
      <c r="R269" s="11">
        <f t="shared" si="47"/>
        <v>-156854.65649442325</v>
      </c>
      <c r="S269" s="11">
        <f t="shared" si="47"/>
        <v>-183335.35623392943</v>
      </c>
    </row>
    <row r="270" spans="1:19">
      <c r="A270">
        <v>15</v>
      </c>
      <c r="B270" s="11">
        <f t="shared" si="46"/>
        <v>-125137.61218874676</v>
      </c>
      <c r="C270" s="11">
        <f t="shared" si="46"/>
        <v>-130386.91311237747</v>
      </c>
      <c r="D270" s="11">
        <f t="shared" si="46"/>
        <v>-133645.37108226219</v>
      </c>
      <c r="E270" s="11">
        <f t="shared" si="46"/>
        <v>-116570.15709311556</v>
      </c>
      <c r="F270" s="11">
        <f t="shared" si="46"/>
        <v>-117954.81803012513</v>
      </c>
      <c r="G270" s="11">
        <f t="shared" si="46"/>
        <v>-148169.36755688547</v>
      </c>
      <c r="H270" s="11">
        <f t="shared" si="46"/>
        <v>-145680.83686717492</v>
      </c>
      <c r="I270" s="11">
        <f t="shared" si="47"/>
        <v>-158117.48949073569</v>
      </c>
      <c r="J270" s="11">
        <f t="shared" si="47"/>
        <v>-156112.61695590313</v>
      </c>
      <c r="K270" s="11">
        <f t="shared" si="47"/>
        <v>-184349.11147933209</v>
      </c>
      <c r="L270" s="11">
        <f t="shared" si="47"/>
        <v>-186062.73704751139</v>
      </c>
      <c r="M270" s="11">
        <f t="shared" si="47"/>
        <v>-186285.5142741139</v>
      </c>
      <c r="N270" s="11">
        <f t="shared" si="47"/>
        <v>-180116.70250759643</v>
      </c>
      <c r="O270" s="11">
        <f t="shared" si="47"/>
        <v>-177946.35254280409</v>
      </c>
      <c r="P270" s="11">
        <f t="shared" si="47"/>
        <v>-137071.36825801831</v>
      </c>
      <c r="Q270" s="11">
        <f t="shared" si="47"/>
        <v>-150904.48083114787</v>
      </c>
      <c r="R270" s="11">
        <f t="shared" si="47"/>
        <v>-152286.07426643031</v>
      </c>
      <c r="S270" s="11">
        <f t="shared" si="47"/>
        <v>-177995.49148925187</v>
      </c>
    </row>
    <row r="271" spans="1:19">
      <c r="A271">
        <v>16</v>
      </c>
      <c r="B271" s="11">
        <f t="shared" si="46"/>
        <v>-121492.82736771532</v>
      </c>
      <c r="C271" s="11">
        <f t="shared" si="46"/>
        <v>-126589.23603143446</v>
      </c>
      <c r="D271" s="11">
        <f t="shared" si="46"/>
        <v>-129752.78745850699</v>
      </c>
      <c r="E271" s="11">
        <f t="shared" si="46"/>
        <v>-113174.90979914134</v>
      </c>
      <c r="F271" s="11">
        <f t="shared" si="46"/>
        <v>-114519.24080594674</v>
      </c>
      <c r="G271" s="11">
        <f t="shared" si="46"/>
        <v>-143853.75490959757</v>
      </c>
      <c r="H271" s="11">
        <f t="shared" si="46"/>
        <v>-141437.70569628634</v>
      </c>
      <c r="I271" s="11">
        <f t="shared" si="47"/>
        <v>-153512.12571916092</v>
      </c>
      <c r="J271" s="11">
        <f t="shared" si="47"/>
        <v>-151565.64753000307</v>
      </c>
      <c r="K271" s="11">
        <f t="shared" si="47"/>
        <v>-178979.71988284672</v>
      </c>
      <c r="L271" s="11">
        <f t="shared" si="47"/>
        <v>-180643.43402671014</v>
      </c>
      <c r="M271" s="11">
        <f t="shared" si="47"/>
        <v>-180859.7225962271</v>
      </c>
      <c r="N271" s="11">
        <f t="shared" si="47"/>
        <v>-174870.58495883152</v>
      </c>
      <c r="O271" s="11">
        <f t="shared" si="47"/>
        <v>-172763.44907068362</v>
      </c>
      <c r="P271" s="11">
        <f t="shared" si="47"/>
        <v>-133078.99830875566</v>
      </c>
      <c r="Q271" s="11">
        <f t="shared" si="47"/>
        <v>-146509.20469043485</v>
      </c>
      <c r="R271" s="11">
        <f t="shared" si="47"/>
        <v>-147850.55754022364</v>
      </c>
      <c r="S271" s="11">
        <f t="shared" si="47"/>
        <v>-172811.15678568147</v>
      </c>
    </row>
    <row r="272" spans="1:19">
      <c r="A272">
        <v>17</v>
      </c>
      <c r="B272" s="11">
        <f t="shared" si="46"/>
        <v>-117954.20132787895</v>
      </c>
      <c r="C272" s="11">
        <f t="shared" si="46"/>
        <v>-122902.1709043053</v>
      </c>
      <c r="D272" s="11">
        <f t="shared" si="46"/>
        <v>-125973.58005680291</v>
      </c>
      <c r="E272" s="11">
        <f t="shared" si="46"/>
        <v>-109878.55320304984</v>
      </c>
      <c r="F272" s="11">
        <f t="shared" si="46"/>
        <v>-111183.72893781237</v>
      </c>
      <c r="G272" s="11">
        <f t="shared" si="46"/>
        <v>-139663.83971805588</v>
      </c>
      <c r="H272" s="11">
        <f t="shared" si="46"/>
        <v>-137318.16087018093</v>
      </c>
      <c r="I272" s="11">
        <f t="shared" si="47"/>
        <v>-149040.89875646689</v>
      </c>
      <c r="J272" s="11">
        <f t="shared" si="47"/>
        <v>-147151.1141067991</v>
      </c>
      <c r="K272" s="11">
        <f t="shared" si="47"/>
        <v>-173766.71833286088</v>
      </c>
      <c r="L272" s="11">
        <f t="shared" si="47"/>
        <v>-175381.97478321372</v>
      </c>
      <c r="M272" s="11">
        <f t="shared" si="47"/>
        <v>-175591.96368565739</v>
      </c>
      <c r="N272" s="11">
        <f t="shared" si="47"/>
        <v>-169777.26695032188</v>
      </c>
      <c r="O272" s="11">
        <f t="shared" si="47"/>
        <v>-167731.50395212002</v>
      </c>
      <c r="P272" s="11">
        <f t="shared" si="47"/>
        <v>-129202.91097937443</v>
      </c>
      <c r="Q272" s="11">
        <f t="shared" si="47"/>
        <v>-142241.94630139307</v>
      </c>
      <c r="R272" s="11">
        <f t="shared" si="47"/>
        <v>-143544.23062157634</v>
      </c>
      <c r="S272" s="11">
        <f t="shared" si="47"/>
        <v>-167777.82212202082</v>
      </c>
    </row>
    <row r="273" spans="1:19">
      <c r="A273">
        <v>18</v>
      </c>
      <c r="B273" s="11">
        <f t="shared" si="46"/>
        <v>-114518.64206590189</v>
      </c>
      <c r="C273" s="11">
        <f t="shared" si="46"/>
        <v>-119322.49602359738</v>
      </c>
      <c r="D273" s="11">
        <f t="shared" si="46"/>
        <v>-122304.4466570902</v>
      </c>
      <c r="E273" s="11">
        <f t="shared" si="46"/>
        <v>-106678.20699325227</v>
      </c>
      <c r="F273" s="11">
        <f t="shared" si="46"/>
        <v>-107945.36790078871</v>
      </c>
      <c r="G273" s="11">
        <f t="shared" si="46"/>
        <v>-135595.96089131641</v>
      </c>
      <c r="H273" s="11">
        <f t="shared" si="46"/>
        <v>-133318.60278658342</v>
      </c>
      <c r="I273" s="11">
        <f t="shared" si="47"/>
        <v>-144699.90170530768</v>
      </c>
      <c r="J273" s="11">
        <f t="shared" si="47"/>
        <v>-142865.15932698941</v>
      </c>
      <c r="K273" s="11">
        <f t="shared" si="47"/>
        <v>-168705.55177947661</v>
      </c>
      <c r="L273" s="11">
        <f t="shared" si="47"/>
        <v>-170273.76192545021</v>
      </c>
      <c r="M273" s="11">
        <f t="shared" si="47"/>
        <v>-170477.63464626932</v>
      </c>
      <c r="N273" s="11">
        <f t="shared" si="47"/>
        <v>-164832.29801002124</v>
      </c>
      <c r="O273" s="11">
        <f t="shared" si="47"/>
        <v>-162846.12034186409</v>
      </c>
      <c r="P273" s="11">
        <f t="shared" si="47"/>
        <v>-125439.7193974509</v>
      </c>
      <c r="Q273" s="11">
        <f t="shared" si="47"/>
        <v>-138098.97699164375</v>
      </c>
      <c r="R273" s="11">
        <f t="shared" si="47"/>
        <v>-139363.33070055957</v>
      </c>
      <c r="S273" s="11">
        <f t="shared" si="47"/>
        <v>-162891.08943885518</v>
      </c>
    </row>
    <row r="274" spans="1:19">
      <c r="A274">
        <v>19</v>
      </c>
      <c r="B274" s="11">
        <f t="shared" si="46"/>
        <v>-111183.14763679795</v>
      </c>
      <c r="C274" s="11">
        <f t="shared" si="46"/>
        <v>-115847.0835180557</v>
      </c>
      <c r="D274" s="11">
        <f t="shared" si="46"/>
        <v>-118742.18122047593</v>
      </c>
      <c r="E274" s="11">
        <f t="shared" si="46"/>
        <v>-103571.07475073037</v>
      </c>
      <c r="F274" s="11">
        <f t="shared" si="46"/>
        <v>-104801.32805901817</v>
      </c>
      <c r="G274" s="11">
        <f t="shared" si="46"/>
        <v>-131646.56397215184</v>
      </c>
      <c r="H274" s="11">
        <f t="shared" si="46"/>
        <v>-129435.53668600332</v>
      </c>
      <c r="I274" s="11">
        <f t="shared" si="47"/>
        <v>-140485.34146146377</v>
      </c>
      <c r="J274" s="11">
        <f t="shared" si="47"/>
        <v>-138704.03818154312</v>
      </c>
      <c r="K274" s="11">
        <f t="shared" si="47"/>
        <v>-163791.79784415202</v>
      </c>
      <c r="L274" s="11">
        <f t="shared" si="47"/>
        <v>-165314.33196645652</v>
      </c>
      <c r="M274" s="11">
        <f t="shared" si="47"/>
        <v>-165512.26664686343</v>
      </c>
      <c r="N274" s="11">
        <f t="shared" si="47"/>
        <v>-160031.35729128277</v>
      </c>
      <c r="O274" s="11">
        <f t="shared" si="47"/>
        <v>-158103.02945812049</v>
      </c>
      <c r="P274" s="11">
        <f t="shared" si="47"/>
        <v>-121786.13533733097</v>
      </c>
      <c r="Q274" s="11">
        <f t="shared" si="47"/>
        <v>-134076.67669091627</v>
      </c>
      <c r="R274" s="11">
        <f t="shared" si="47"/>
        <v>-135304.20456365007</v>
      </c>
      <c r="S274" s="11">
        <f t="shared" si="47"/>
        <v>-158146.68877558754</v>
      </c>
    </row>
    <row r="275" spans="1:19">
      <c r="A275">
        <v>20</v>
      </c>
      <c r="B275" s="11">
        <f t="shared" si="46"/>
        <v>-107944.80353087181</v>
      </c>
      <c r="C275" s="11">
        <f t="shared" si="46"/>
        <v>-112472.89661947156</v>
      </c>
      <c r="D275" s="11">
        <f t="shared" si="46"/>
        <v>-115283.67108784072</v>
      </c>
      <c r="E275" s="11">
        <f t="shared" si="46"/>
        <v>-100554.44150556347</v>
      </c>
      <c r="F275" s="11">
        <f t="shared" si="46"/>
        <v>-101748.86219322152</v>
      </c>
      <c r="G275" s="11">
        <f t="shared" si="46"/>
        <v>-127812.19803121539</v>
      </c>
      <c r="H275" s="11">
        <f t="shared" si="46"/>
        <v>-125665.56959806148</v>
      </c>
      <c r="I275" s="11">
        <f t="shared" si="47"/>
        <v>-136393.53539947938</v>
      </c>
      <c r="J275" s="11">
        <f t="shared" si="47"/>
        <v>-134664.11473936227</v>
      </c>
      <c r="K275" s="11">
        <f t="shared" si="47"/>
        <v>-159021.16295548741</v>
      </c>
      <c r="L275" s="11">
        <f t="shared" si="47"/>
        <v>-160499.3514237442</v>
      </c>
      <c r="M275" s="11">
        <f t="shared" si="47"/>
        <v>-160691.52101637225</v>
      </c>
      <c r="N275" s="11">
        <f t="shared" si="47"/>
        <v>-155370.2497973619</v>
      </c>
      <c r="O275" s="11">
        <f t="shared" si="47"/>
        <v>-153498.08685254416</v>
      </c>
      <c r="P275" s="11">
        <f t="shared" si="47"/>
        <v>-118238.96634692328</v>
      </c>
      <c r="Q275" s="11">
        <f t="shared" si="47"/>
        <v>-130171.53076787987</v>
      </c>
      <c r="R275" s="11">
        <f t="shared" si="47"/>
        <v>-131363.305401602</v>
      </c>
      <c r="S275" s="11">
        <f t="shared" si="47"/>
        <v>-153540.4745394054</v>
      </c>
    </row>
    <row r="276" spans="1:19">
      <c r="B276" s="11"/>
      <c r="C276" s="11"/>
      <c r="D276" s="11"/>
      <c r="E276" s="11"/>
      <c r="F276" s="11"/>
      <c r="G276" s="11"/>
      <c r="H276" s="11"/>
      <c r="I276" s="11"/>
      <c r="J276" s="11"/>
      <c r="K276" s="11"/>
      <c r="L276" s="11"/>
      <c r="M276" s="11"/>
      <c r="N276" s="11"/>
      <c r="O276" s="11"/>
      <c r="P276" s="11"/>
      <c r="Q276" s="11"/>
      <c r="R276" s="11"/>
      <c r="S276" s="11"/>
    </row>
    <row r="277" spans="1:19">
      <c r="A277" t="s">
        <v>282</v>
      </c>
      <c r="B277" s="11">
        <f t="shared" ref="B277:N277" si="48">SUM(B256:B275)+B234</f>
        <v>-2906195.7510056333</v>
      </c>
      <c r="C277" s="11">
        <f t="shared" si="48"/>
        <v>-3028105.5091764652</v>
      </c>
      <c r="D277" s="11">
        <f t="shared" si="48"/>
        <v>-3103779.9330469328</v>
      </c>
      <c r="E277" s="11">
        <f t="shared" si="48"/>
        <v>-2707225.1844400833</v>
      </c>
      <c r="F277" s="11">
        <f t="shared" si="48"/>
        <v>-2739382.5483320132</v>
      </c>
      <c r="G277" s="11">
        <f t="shared" si="48"/>
        <v>-3441085.2092456329</v>
      </c>
      <c r="H277" s="11">
        <f t="shared" si="48"/>
        <v>-3383291.5755795566</v>
      </c>
      <c r="I277" s="11">
        <f t="shared" si="48"/>
        <v>-3672120.3807577309</v>
      </c>
      <c r="J277" s="11">
        <f t="shared" si="48"/>
        <v>-3625559.223483528</v>
      </c>
      <c r="K277" s="11">
        <f t="shared" si="48"/>
        <v>-4281323.5374414278</v>
      </c>
      <c r="L277" s="11">
        <f t="shared" si="48"/>
        <v>-4321120.7755215792</v>
      </c>
      <c r="M277" s="11">
        <f t="shared" si="48"/>
        <v>-4326294.5535572069</v>
      </c>
      <c r="N277" s="11">
        <f t="shared" si="48"/>
        <v>-4183030.0767061869</v>
      </c>
      <c r="O277" s="11">
        <f>SUM(O256:O275)+O234</f>
        <v>-4173784.1318028593</v>
      </c>
      <c r="P277" s="11">
        <f>SUM(P256:P275)+P234</f>
        <v>-3224503.5472277524</v>
      </c>
      <c r="Q277" s="11">
        <f>SUM(Q256:Q275)+Q234</f>
        <v>-3545763.7365509667</v>
      </c>
      <c r="R277" s="11">
        <f>SUM(R256:R275)+R234</f>
        <v>-3577849.8607865721</v>
      </c>
      <c r="S277" s="11">
        <f>SUM(S256:S275)+S234</f>
        <v>-4174925.3346345066</v>
      </c>
    </row>
    <row r="279" spans="1:19">
      <c r="A279" t="s">
        <v>101</v>
      </c>
    </row>
    <row r="280" spans="1:19">
      <c r="A280" t="s">
        <v>100</v>
      </c>
    </row>
    <row r="281" spans="1:19">
      <c r="A281">
        <v>1</v>
      </c>
      <c r="B281" s="11">
        <f t="shared" ref="B281:S281" si="49">-$B$177*B242</f>
        <v>-837723.17999999993</v>
      </c>
      <c r="C281" s="11">
        <f t="shared" si="49"/>
        <v>-797562.66800000006</v>
      </c>
      <c r="D281" s="11">
        <f t="shared" si="49"/>
        <v>-797562.66800000006</v>
      </c>
      <c r="E281" s="11">
        <f t="shared" si="49"/>
        <v>-707201.51600000018</v>
      </c>
      <c r="F281" s="11">
        <f t="shared" si="49"/>
        <v>-708456.53200000001</v>
      </c>
      <c r="G281" s="11">
        <f t="shared" si="49"/>
        <v>-753009.60000000009</v>
      </c>
      <c r="H281" s="11">
        <f t="shared" si="49"/>
        <v>-753009.60000000009</v>
      </c>
      <c r="I281" s="11">
        <f t="shared" si="49"/>
        <v>-717869.152</v>
      </c>
      <c r="J281" s="11">
        <f t="shared" si="49"/>
        <v>-593622.56800000009</v>
      </c>
      <c r="K281" s="11">
        <f t="shared" si="49"/>
        <v>-674571.10000000009</v>
      </c>
      <c r="L281" s="11">
        <f t="shared" si="49"/>
        <v>-674571.10000000009</v>
      </c>
      <c r="M281" s="11">
        <f t="shared" si="49"/>
        <v>-674571.10000000009</v>
      </c>
      <c r="N281" s="11">
        <f t="shared" si="49"/>
        <v>-560364.64400000009</v>
      </c>
      <c r="O281" s="11">
        <f t="shared" si="49"/>
        <v>-461218.38</v>
      </c>
      <c r="P281" s="11">
        <f t="shared" si="49"/>
        <v>-261043.32800000001</v>
      </c>
      <c r="Q281" s="11">
        <f t="shared" si="49"/>
        <v>-235315.50000000003</v>
      </c>
      <c r="R281" s="11">
        <f t="shared" si="49"/>
        <v>-249748.18399999998</v>
      </c>
      <c r="S281" s="11">
        <f t="shared" si="49"/>
        <v>-225902.88000000003</v>
      </c>
    </row>
    <row r="282" spans="1:19">
      <c r="A282">
        <v>2</v>
      </c>
      <c r="B282" s="11">
        <f t="shared" ref="B282:H291" si="50">B$281/((1+$B$173)^$A282)</f>
        <v>-789634.44245451968</v>
      </c>
      <c r="C282" s="11">
        <f t="shared" si="50"/>
        <v>-751779.30813460273</v>
      </c>
      <c r="D282" s="11">
        <f t="shared" si="50"/>
        <v>-751779.30813460273</v>
      </c>
      <c r="E282" s="11">
        <f t="shared" si="50"/>
        <v>-666605.25591478951</v>
      </c>
      <c r="F282" s="11">
        <f t="shared" si="50"/>
        <v>-667788.22886228678</v>
      </c>
      <c r="G282" s="11">
        <f t="shared" si="50"/>
        <v>-709783.76849844481</v>
      </c>
      <c r="H282" s="11">
        <f t="shared" si="50"/>
        <v>-709783.76849844481</v>
      </c>
      <c r="I282" s="11">
        <f t="shared" ref="I282:S291" si="51">I$281/((1+$B$173)^$A282)</f>
        <v>-676660.52596851729</v>
      </c>
      <c r="J282" s="11">
        <f t="shared" si="51"/>
        <v>-559546.20416627405</v>
      </c>
      <c r="K282" s="11">
        <f t="shared" si="51"/>
        <v>-635847.95927985688</v>
      </c>
      <c r="L282" s="11">
        <f t="shared" si="51"/>
        <v>-635847.95927985688</v>
      </c>
      <c r="M282" s="11">
        <f t="shared" si="51"/>
        <v>-635847.95927985688</v>
      </c>
      <c r="N282" s="11">
        <f t="shared" si="51"/>
        <v>-528197.42105759273</v>
      </c>
      <c r="O282" s="11">
        <f t="shared" si="51"/>
        <v>-434742.55820529739</v>
      </c>
      <c r="P282" s="11">
        <f t="shared" si="51"/>
        <v>-246058.37307946084</v>
      </c>
      <c r="Q282" s="11">
        <f t="shared" si="51"/>
        <v>-221807.42765576401</v>
      </c>
      <c r="R282" s="11">
        <f t="shared" si="51"/>
        <v>-235411.61655198416</v>
      </c>
      <c r="S282" s="11">
        <f t="shared" si="51"/>
        <v>-212935.13054953347</v>
      </c>
    </row>
    <row r="283" spans="1:19">
      <c r="A283">
        <v>3</v>
      </c>
      <c r="B283" s="11">
        <f t="shared" si="50"/>
        <v>-766635.38102380547</v>
      </c>
      <c r="C283" s="11">
        <f t="shared" si="50"/>
        <v>-729882.8234316532</v>
      </c>
      <c r="D283" s="11">
        <f t="shared" si="50"/>
        <v>-729882.8234316532</v>
      </c>
      <c r="E283" s="11">
        <f t="shared" si="50"/>
        <v>-647189.56884931016</v>
      </c>
      <c r="F283" s="11">
        <f t="shared" si="50"/>
        <v>-648338.08627406484</v>
      </c>
      <c r="G283" s="11">
        <f t="shared" si="50"/>
        <v>-689110.45485285902</v>
      </c>
      <c r="H283" s="11">
        <f t="shared" si="50"/>
        <v>-689110.45485285902</v>
      </c>
      <c r="I283" s="11">
        <f t="shared" si="51"/>
        <v>-656951.96695972548</v>
      </c>
      <c r="J283" s="11">
        <f t="shared" si="51"/>
        <v>-543248.74190900393</v>
      </c>
      <c r="K283" s="11">
        <f t="shared" si="51"/>
        <v>-617328.11580568622</v>
      </c>
      <c r="L283" s="11">
        <f t="shared" si="51"/>
        <v>-617328.11580568622</v>
      </c>
      <c r="M283" s="11">
        <f t="shared" si="51"/>
        <v>-617328.11580568622</v>
      </c>
      <c r="N283" s="11">
        <f t="shared" si="51"/>
        <v>-512813.03015300259</v>
      </c>
      <c r="O283" s="11">
        <f t="shared" si="51"/>
        <v>-422080.15359737613</v>
      </c>
      <c r="P283" s="11">
        <f t="shared" si="51"/>
        <v>-238891.62434899111</v>
      </c>
      <c r="Q283" s="11">
        <f t="shared" si="51"/>
        <v>-215347.01714151844</v>
      </c>
      <c r="R283" s="11">
        <f t="shared" si="51"/>
        <v>-228554.96752619819</v>
      </c>
      <c r="S283" s="11">
        <f t="shared" si="51"/>
        <v>-206733.13645585772</v>
      </c>
    </row>
    <row r="284" spans="1:19">
      <c r="A284">
        <v>4</v>
      </c>
      <c r="B284" s="11">
        <f t="shared" si="50"/>
        <v>-744306.19516874326</v>
      </c>
      <c r="C284" s="11">
        <f t="shared" si="50"/>
        <v>-708624.10041908082</v>
      </c>
      <c r="D284" s="11">
        <f t="shared" si="50"/>
        <v>-708624.10041908082</v>
      </c>
      <c r="E284" s="11">
        <f t="shared" si="50"/>
        <v>-628339.38723234006</v>
      </c>
      <c r="F284" s="11">
        <f t="shared" si="50"/>
        <v>-629454.45269326679</v>
      </c>
      <c r="G284" s="11">
        <f t="shared" si="50"/>
        <v>-669039.27655617392</v>
      </c>
      <c r="H284" s="11">
        <f t="shared" si="50"/>
        <v>-669039.27655617392</v>
      </c>
      <c r="I284" s="11">
        <f t="shared" si="51"/>
        <v>-637817.44365021901</v>
      </c>
      <c r="J284" s="11">
        <f t="shared" si="51"/>
        <v>-527425.96301845042</v>
      </c>
      <c r="K284" s="11">
        <f t="shared" si="51"/>
        <v>-599347.68524823908</v>
      </c>
      <c r="L284" s="11">
        <f t="shared" si="51"/>
        <v>-599347.68524823908</v>
      </c>
      <c r="M284" s="11">
        <f t="shared" si="51"/>
        <v>-599347.68524823908</v>
      </c>
      <c r="N284" s="11">
        <f t="shared" si="51"/>
        <v>-497876.72830388608</v>
      </c>
      <c r="O284" s="11">
        <f t="shared" si="51"/>
        <v>-409786.55689065647</v>
      </c>
      <c r="P284" s="11">
        <f t="shared" si="51"/>
        <v>-231933.61587280693</v>
      </c>
      <c r="Q284" s="11">
        <f t="shared" si="51"/>
        <v>-209074.77392380434</v>
      </c>
      <c r="R284" s="11">
        <f t="shared" si="51"/>
        <v>-221898.02672446429</v>
      </c>
      <c r="S284" s="11">
        <f t="shared" si="51"/>
        <v>-200711.78296685216</v>
      </c>
    </row>
    <row r="285" spans="1:19">
      <c r="A285">
        <v>5</v>
      </c>
      <c r="B285" s="11">
        <f t="shared" si="50"/>
        <v>-722627.37395023624</v>
      </c>
      <c r="C285" s="11">
        <f t="shared" si="50"/>
        <v>-687984.5635136707</v>
      </c>
      <c r="D285" s="11">
        <f t="shared" si="50"/>
        <v>-687984.5635136707</v>
      </c>
      <c r="E285" s="11">
        <f t="shared" si="50"/>
        <v>-610038.24003139813</v>
      </c>
      <c r="F285" s="11">
        <f t="shared" si="50"/>
        <v>-611120.82785754069</v>
      </c>
      <c r="G285" s="11">
        <f t="shared" si="50"/>
        <v>-649552.69568560575</v>
      </c>
      <c r="H285" s="11">
        <f t="shared" si="50"/>
        <v>-649552.69568560575</v>
      </c>
      <c r="I285" s="11">
        <f t="shared" si="51"/>
        <v>-619240.23655361077</v>
      </c>
      <c r="J285" s="11">
        <f t="shared" si="51"/>
        <v>-512064.04176548589</v>
      </c>
      <c r="K285" s="11">
        <f t="shared" si="51"/>
        <v>-581890.95655168849</v>
      </c>
      <c r="L285" s="11">
        <f t="shared" si="51"/>
        <v>-581890.95655168849</v>
      </c>
      <c r="M285" s="11">
        <f t="shared" si="51"/>
        <v>-581890.95655168849</v>
      </c>
      <c r="N285" s="11">
        <f t="shared" si="51"/>
        <v>-483375.46437270497</v>
      </c>
      <c r="O285" s="11">
        <f t="shared" si="51"/>
        <v>-397851.02610743348</v>
      </c>
      <c r="P285" s="11">
        <f t="shared" si="51"/>
        <v>-225178.26783767663</v>
      </c>
      <c r="Q285" s="11">
        <f t="shared" si="51"/>
        <v>-202985.21740175178</v>
      </c>
      <c r="R285" s="11">
        <f t="shared" si="51"/>
        <v>-215434.97740239251</v>
      </c>
      <c r="S285" s="11">
        <f t="shared" si="51"/>
        <v>-194865.80870568173</v>
      </c>
    </row>
    <row r="286" spans="1:19">
      <c r="A286">
        <v>6</v>
      </c>
      <c r="B286" s="11">
        <f t="shared" si="50"/>
        <v>-701579.97470896714</v>
      </c>
      <c r="C286" s="11">
        <f t="shared" si="50"/>
        <v>-667946.1781686123</v>
      </c>
      <c r="D286" s="11">
        <f t="shared" si="50"/>
        <v>-667946.1781686123</v>
      </c>
      <c r="E286" s="11">
        <f t="shared" si="50"/>
        <v>-592270.13595281367</v>
      </c>
      <c r="F286" s="11">
        <f t="shared" si="50"/>
        <v>-593321.1920946996</v>
      </c>
      <c r="G286" s="11">
        <f t="shared" si="50"/>
        <v>-630633.68513165601</v>
      </c>
      <c r="H286" s="11">
        <f t="shared" si="50"/>
        <v>-630633.68513165601</v>
      </c>
      <c r="I286" s="11">
        <f t="shared" si="51"/>
        <v>-601204.11315884534</v>
      </c>
      <c r="J286" s="11">
        <f t="shared" si="51"/>
        <v>-497149.55511212215</v>
      </c>
      <c r="K286" s="11">
        <f t="shared" si="51"/>
        <v>-564942.67626377521</v>
      </c>
      <c r="L286" s="11">
        <f t="shared" si="51"/>
        <v>-564942.67626377521</v>
      </c>
      <c r="M286" s="11">
        <f t="shared" si="51"/>
        <v>-564942.67626377521</v>
      </c>
      <c r="N286" s="11">
        <f t="shared" si="51"/>
        <v>-469296.56735214073</v>
      </c>
      <c r="O286" s="11">
        <f t="shared" si="51"/>
        <v>-386263.13214313926</v>
      </c>
      <c r="P286" s="11">
        <f t="shared" si="51"/>
        <v>-218619.67751230739</v>
      </c>
      <c r="Q286" s="11">
        <f t="shared" si="51"/>
        <v>-197073.0266036425</v>
      </c>
      <c r="R286" s="11">
        <f t="shared" si="51"/>
        <v>-209160.17223533255</v>
      </c>
      <c r="S286" s="11">
        <f t="shared" si="51"/>
        <v>-189190.10553949681</v>
      </c>
    </row>
    <row r="287" spans="1:19">
      <c r="A287">
        <v>7</v>
      </c>
      <c r="B287" s="11">
        <f t="shared" si="50"/>
        <v>-681145.60651356028</v>
      </c>
      <c r="C287" s="11">
        <f t="shared" si="50"/>
        <v>-648491.43511515751</v>
      </c>
      <c r="D287" s="11">
        <f t="shared" si="50"/>
        <v>-648491.43511515751</v>
      </c>
      <c r="E287" s="11">
        <f t="shared" si="50"/>
        <v>-575019.54946875107</v>
      </c>
      <c r="F287" s="11">
        <f t="shared" si="50"/>
        <v>-576039.9923249511</v>
      </c>
      <c r="G287" s="11">
        <f t="shared" si="50"/>
        <v>-612265.71372005437</v>
      </c>
      <c r="H287" s="11">
        <f t="shared" si="50"/>
        <v>-612265.71372005437</v>
      </c>
      <c r="I287" s="11">
        <f t="shared" si="51"/>
        <v>-583693.31374645175</v>
      </c>
      <c r="J287" s="11">
        <f t="shared" si="51"/>
        <v>-482669.47098264284</v>
      </c>
      <c r="K287" s="11">
        <f t="shared" si="51"/>
        <v>-548488.03520754864</v>
      </c>
      <c r="L287" s="11">
        <f t="shared" si="51"/>
        <v>-548488.03520754864</v>
      </c>
      <c r="M287" s="11">
        <f t="shared" si="51"/>
        <v>-548488.03520754864</v>
      </c>
      <c r="N287" s="11">
        <f t="shared" si="51"/>
        <v>-455627.73529334046</v>
      </c>
      <c r="O287" s="11">
        <f t="shared" si="51"/>
        <v>-375012.74965353322</v>
      </c>
      <c r="P287" s="11">
        <f t="shared" si="51"/>
        <v>-212252.11408961882</v>
      </c>
      <c r="Q287" s="11">
        <f t="shared" si="51"/>
        <v>-191333.03553751699</v>
      </c>
      <c r="R287" s="11">
        <f t="shared" si="51"/>
        <v>-203068.128383818</v>
      </c>
      <c r="S287" s="11">
        <f t="shared" si="51"/>
        <v>-183679.71411601632</v>
      </c>
    </row>
    <row r="288" spans="1:19">
      <c r="A288">
        <v>8</v>
      </c>
      <c r="B288" s="11">
        <f t="shared" si="50"/>
        <v>-661306.41409083537</v>
      </c>
      <c r="C288" s="11">
        <f t="shared" si="50"/>
        <v>-629603.33506325982</v>
      </c>
      <c r="D288" s="11">
        <f t="shared" si="50"/>
        <v>-629603.33506325982</v>
      </c>
      <c r="E288" s="11">
        <f t="shared" si="50"/>
        <v>-558271.40725121472</v>
      </c>
      <c r="F288" s="11">
        <f t="shared" si="50"/>
        <v>-559262.12847082631</v>
      </c>
      <c r="G288" s="11">
        <f t="shared" si="50"/>
        <v>-594432.73176704312</v>
      </c>
      <c r="H288" s="11">
        <f t="shared" si="50"/>
        <v>-594432.73176704312</v>
      </c>
      <c r="I288" s="11">
        <f t="shared" si="51"/>
        <v>-566692.53761791438</v>
      </c>
      <c r="J288" s="11">
        <f t="shared" si="51"/>
        <v>-468611.13687635236</v>
      </c>
      <c r="K288" s="11">
        <f t="shared" si="51"/>
        <v>-532512.6555413095</v>
      </c>
      <c r="L288" s="11">
        <f t="shared" si="51"/>
        <v>-532512.6555413095</v>
      </c>
      <c r="M288" s="11">
        <f t="shared" si="51"/>
        <v>-532512.6555413095</v>
      </c>
      <c r="N288" s="11">
        <f t="shared" si="51"/>
        <v>-442357.02455664129</v>
      </c>
      <c r="O288" s="11">
        <f t="shared" si="51"/>
        <v>-364090.04820731387</v>
      </c>
      <c r="P288" s="11">
        <f t="shared" si="51"/>
        <v>-206070.01367924159</v>
      </c>
      <c r="Q288" s="11">
        <f t="shared" si="51"/>
        <v>-185760.22867720097</v>
      </c>
      <c r="R288" s="11">
        <f t="shared" si="51"/>
        <v>-197153.52270273594</v>
      </c>
      <c r="S288" s="11">
        <f t="shared" si="51"/>
        <v>-178329.81953011293</v>
      </c>
    </row>
    <row r="289" spans="1:19">
      <c r="A289">
        <v>9</v>
      </c>
      <c r="B289" s="11">
        <f t="shared" si="50"/>
        <v>-642045.06222411199</v>
      </c>
      <c r="C289" s="11">
        <f t="shared" si="50"/>
        <v>-611265.3738478251</v>
      </c>
      <c r="D289" s="11">
        <f t="shared" si="50"/>
        <v>-611265.3738478251</v>
      </c>
      <c r="E289" s="11">
        <f t="shared" si="50"/>
        <v>-542011.07500117936</v>
      </c>
      <c r="F289" s="11">
        <f t="shared" si="50"/>
        <v>-542972.94026293815</v>
      </c>
      <c r="G289" s="11">
        <f t="shared" si="50"/>
        <v>-577119.15705538169</v>
      </c>
      <c r="H289" s="11">
        <f t="shared" si="50"/>
        <v>-577119.15705538169</v>
      </c>
      <c r="I289" s="11">
        <f t="shared" si="51"/>
        <v>-550186.92972613045</v>
      </c>
      <c r="J289" s="11">
        <f t="shared" si="51"/>
        <v>-454962.26881199254</v>
      </c>
      <c r="K289" s="11">
        <f t="shared" si="51"/>
        <v>-517002.57819544605</v>
      </c>
      <c r="L289" s="11">
        <f t="shared" si="51"/>
        <v>-517002.57819544605</v>
      </c>
      <c r="M289" s="11">
        <f t="shared" si="51"/>
        <v>-517002.57819544605</v>
      </c>
      <c r="N289" s="11">
        <f t="shared" si="51"/>
        <v>-429472.83937537984</v>
      </c>
      <c r="O289" s="11">
        <f t="shared" si="51"/>
        <v>-353485.4836964212</v>
      </c>
      <c r="P289" s="11">
        <f t="shared" si="51"/>
        <v>-200067.97444586564</v>
      </c>
      <c r="Q289" s="11">
        <f t="shared" si="51"/>
        <v>-180349.73657980678</v>
      </c>
      <c r="R289" s="11">
        <f t="shared" si="51"/>
        <v>-191411.18709003489</v>
      </c>
      <c r="S289" s="11">
        <f t="shared" si="51"/>
        <v>-173135.74711661451</v>
      </c>
    </row>
    <row r="290" spans="1:19">
      <c r="A290">
        <v>10</v>
      </c>
      <c r="B290" s="11">
        <f t="shared" si="50"/>
        <v>-623344.72060593392</v>
      </c>
      <c r="C290" s="11">
        <f t="shared" si="50"/>
        <v>-593461.52800759708</v>
      </c>
      <c r="D290" s="11">
        <f t="shared" si="50"/>
        <v>-593461.52800759708</v>
      </c>
      <c r="E290" s="11">
        <f t="shared" si="50"/>
        <v>-526224.34466133919</v>
      </c>
      <c r="F290" s="11">
        <f t="shared" si="50"/>
        <v>-527158.19443003705</v>
      </c>
      <c r="G290" s="11">
        <f t="shared" si="50"/>
        <v>-560309.86121881718</v>
      </c>
      <c r="H290" s="11">
        <f t="shared" si="50"/>
        <v>-560309.86121881718</v>
      </c>
      <c r="I290" s="11">
        <f t="shared" si="51"/>
        <v>-534162.06769527227</v>
      </c>
      <c r="J290" s="11">
        <f t="shared" si="51"/>
        <v>-441710.94059416751</v>
      </c>
      <c r="K290" s="11">
        <f t="shared" si="51"/>
        <v>-501944.25067519036</v>
      </c>
      <c r="L290" s="11">
        <f t="shared" si="51"/>
        <v>-501944.25067519036</v>
      </c>
      <c r="M290" s="11">
        <f t="shared" si="51"/>
        <v>-501944.25067519036</v>
      </c>
      <c r="N290" s="11">
        <f t="shared" si="51"/>
        <v>-416963.9217236698</v>
      </c>
      <c r="O290" s="11">
        <f t="shared" si="51"/>
        <v>-343189.78999652545</v>
      </c>
      <c r="P290" s="11">
        <f t="shared" si="51"/>
        <v>-194240.75188918994</v>
      </c>
      <c r="Q290" s="11">
        <f t="shared" si="51"/>
        <v>-175096.83163088036</v>
      </c>
      <c r="R290" s="11">
        <f t="shared" si="51"/>
        <v>-185836.10397090766</v>
      </c>
      <c r="S290" s="11">
        <f t="shared" si="51"/>
        <v>-168092.95836564514</v>
      </c>
    </row>
    <row r="291" spans="1:19">
      <c r="A291">
        <v>11</v>
      </c>
      <c r="B291" s="11">
        <f t="shared" si="50"/>
        <v>-605189.04913197469</v>
      </c>
      <c r="C291" s="11">
        <f t="shared" si="50"/>
        <v>-576176.24078407488</v>
      </c>
      <c r="D291" s="11">
        <f t="shared" si="50"/>
        <v>-576176.24078407488</v>
      </c>
      <c r="E291" s="11">
        <f t="shared" si="50"/>
        <v>-510897.42200130015</v>
      </c>
      <c r="F291" s="11">
        <f t="shared" si="50"/>
        <v>-511804.07226217189</v>
      </c>
      <c r="G291" s="11">
        <f t="shared" si="50"/>
        <v>-543990.15652312338</v>
      </c>
      <c r="H291" s="11">
        <f t="shared" si="50"/>
        <v>-543990.15652312338</v>
      </c>
      <c r="I291" s="11">
        <f t="shared" si="51"/>
        <v>-518603.94921871094</v>
      </c>
      <c r="J291" s="11">
        <f t="shared" si="51"/>
        <v>-428845.57339239563</v>
      </c>
      <c r="K291" s="11">
        <f t="shared" si="51"/>
        <v>-487324.51521863142</v>
      </c>
      <c r="L291" s="11">
        <f t="shared" si="51"/>
        <v>-487324.51521863142</v>
      </c>
      <c r="M291" s="11">
        <f t="shared" si="51"/>
        <v>-487324.51521863142</v>
      </c>
      <c r="N291" s="11">
        <f t="shared" si="51"/>
        <v>-404819.34147929103</v>
      </c>
      <c r="O291" s="11">
        <f t="shared" si="51"/>
        <v>-333193.97087041306</v>
      </c>
      <c r="P291" s="11">
        <f t="shared" si="51"/>
        <v>-188583.25426134944</v>
      </c>
      <c r="Q291" s="11">
        <f t="shared" si="51"/>
        <v>-169996.92391347606</v>
      </c>
      <c r="R291" s="11">
        <f t="shared" si="51"/>
        <v>-180423.40191350257</v>
      </c>
      <c r="S291" s="11">
        <f t="shared" si="51"/>
        <v>-163197.04695693703</v>
      </c>
    </row>
    <row r="292" spans="1:19">
      <c r="A292">
        <v>12</v>
      </c>
      <c r="B292" s="11">
        <f t="shared" ref="B292:H300" si="52">B$281/((1+$B$173)^$A292)</f>
        <v>-587562.18362327653</v>
      </c>
      <c r="C292" s="11">
        <f t="shared" si="52"/>
        <v>-559394.40852822806</v>
      </c>
      <c r="D292" s="11">
        <f t="shared" si="52"/>
        <v>-559394.40852822806</v>
      </c>
      <c r="E292" s="11">
        <f t="shared" si="52"/>
        <v>-496016.91456436913</v>
      </c>
      <c r="F292" s="11">
        <f t="shared" si="52"/>
        <v>-496897.1575360893</v>
      </c>
      <c r="G292" s="11">
        <f t="shared" si="52"/>
        <v>-528145.78303215874</v>
      </c>
      <c r="H292" s="11">
        <f t="shared" si="52"/>
        <v>-528145.78303215874</v>
      </c>
      <c r="I292" s="11">
        <f t="shared" ref="I292:S300" si="53">I$281/((1+$B$173)^$A292)</f>
        <v>-503498.97982399125</v>
      </c>
      <c r="J292" s="11">
        <f t="shared" si="53"/>
        <v>-416354.92562368518</v>
      </c>
      <c r="K292" s="11">
        <f t="shared" si="53"/>
        <v>-473130.59729964222</v>
      </c>
      <c r="L292" s="11">
        <f t="shared" si="53"/>
        <v>-473130.59729964222</v>
      </c>
      <c r="M292" s="11">
        <f t="shared" si="53"/>
        <v>-473130.59729964222</v>
      </c>
      <c r="N292" s="11">
        <f t="shared" si="53"/>
        <v>-393028.48687309813</v>
      </c>
      <c r="O292" s="11">
        <f t="shared" si="53"/>
        <v>-323489.29210719717</v>
      </c>
      <c r="P292" s="11">
        <f t="shared" si="53"/>
        <v>-183090.53811781501</v>
      </c>
      <c r="Q292" s="11">
        <f t="shared" si="53"/>
        <v>-165045.55719754961</v>
      </c>
      <c r="R292" s="11">
        <f t="shared" si="53"/>
        <v>-175168.3513723326</v>
      </c>
      <c r="S292" s="11">
        <f t="shared" si="53"/>
        <v>-158443.73490964764</v>
      </c>
    </row>
    <row r="293" spans="1:19">
      <c r="A293">
        <v>13</v>
      </c>
      <c r="B293" s="11">
        <f t="shared" si="52"/>
        <v>-570448.72196434613</v>
      </c>
      <c r="C293" s="11">
        <f t="shared" si="52"/>
        <v>-543101.36750313407</v>
      </c>
      <c r="D293" s="11">
        <f t="shared" si="52"/>
        <v>-543101.36750313407</v>
      </c>
      <c r="E293" s="11">
        <f t="shared" si="52"/>
        <v>-481569.81996540696</v>
      </c>
      <c r="F293" s="11">
        <f t="shared" si="52"/>
        <v>-482424.42479231971</v>
      </c>
      <c r="G293" s="11">
        <f t="shared" si="52"/>
        <v>-512762.89614772698</v>
      </c>
      <c r="H293" s="11">
        <f t="shared" si="52"/>
        <v>-512762.89614772698</v>
      </c>
      <c r="I293" s="11">
        <f t="shared" si="53"/>
        <v>-488833.96099416632</v>
      </c>
      <c r="J293" s="11">
        <f t="shared" si="53"/>
        <v>-404228.08312979143</v>
      </c>
      <c r="K293" s="11">
        <f t="shared" si="53"/>
        <v>-459350.0944656721</v>
      </c>
      <c r="L293" s="11">
        <f t="shared" si="53"/>
        <v>-459350.0944656721</v>
      </c>
      <c r="M293" s="11">
        <f t="shared" si="53"/>
        <v>-459350.0944656721</v>
      </c>
      <c r="N293" s="11">
        <f t="shared" si="53"/>
        <v>-381581.05521660019</v>
      </c>
      <c r="O293" s="11">
        <f t="shared" si="53"/>
        <v>-314067.27389048273</v>
      </c>
      <c r="P293" s="11">
        <f t="shared" si="53"/>
        <v>-177757.80399787865</v>
      </c>
      <c r="Q293" s="11">
        <f t="shared" si="53"/>
        <v>-160238.40504616467</v>
      </c>
      <c r="R293" s="11">
        <f t="shared" si="53"/>
        <v>-170066.36055566274</v>
      </c>
      <c r="S293" s="11">
        <f t="shared" si="53"/>
        <v>-153828.86884431809</v>
      </c>
    </row>
    <row r="294" spans="1:19">
      <c r="A294">
        <v>14</v>
      </c>
      <c r="B294" s="11">
        <f t="shared" si="52"/>
        <v>-553833.71064499614</v>
      </c>
      <c r="C294" s="11">
        <f t="shared" si="52"/>
        <v>-527282.88107100397</v>
      </c>
      <c r="D294" s="11">
        <f t="shared" si="52"/>
        <v>-527282.88107100397</v>
      </c>
      <c r="E294" s="11">
        <f t="shared" si="52"/>
        <v>-467543.51452952129</v>
      </c>
      <c r="F294" s="11">
        <f t="shared" si="52"/>
        <v>-468373.22795370844</v>
      </c>
      <c r="G294" s="11">
        <f t="shared" si="52"/>
        <v>-497828.05451235623</v>
      </c>
      <c r="H294" s="11">
        <f t="shared" si="52"/>
        <v>-497828.05451235623</v>
      </c>
      <c r="I294" s="11">
        <f t="shared" si="53"/>
        <v>-474596.07863511285</v>
      </c>
      <c r="J294" s="11">
        <f t="shared" si="53"/>
        <v>-392454.44964057417</v>
      </c>
      <c r="K294" s="11">
        <f t="shared" si="53"/>
        <v>-445970.96550065244</v>
      </c>
      <c r="L294" s="11">
        <f t="shared" si="53"/>
        <v>-445970.96550065244</v>
      </c>
      <c r="M294" s="11">
        <f t="shared" si="53"/>
        <v>-445970.96550065244</v>
      </c>
      <c r="N294" s="11">
        <f t="shared" si="53"/>
        <v>-370467.04389961174</v>
      </c>
      <c r="O294" s="11">
        <f t="shared" si="53"/>
        <v>-304919.68338881817</v>
      </c>
      <c r="P294" s="11">
        <f t="shared" si="53"/>
        <v>-172580.39223095015</v>
      </c>
      <c r="Q294" s="11">
        <f t="shared" si="53"/>
        <v>-155571.26703511132</v>
      </c>
      <c r="R294" s="11">
        <f t="shared" si="53"/>
        <v>-165112.97141326478</v>
      </c>
      <c r="S294" s="11">
        <f t="shared" si="53"/>
        <v>-149348.41635370688</v>
      </c>
    </row>
    <row r="295" spans="1:19">
      <c r="A295">
        <v>15</v>
      </c>
      <c r="B295" s="11">
        <f t="shared" si="52"/>
        <v>-537702.631694171</v>
      </c>
      <c r="C295" s="11">
        <f t="shared" si="52"/>
        <v>-511925.12725340185</v>
      </c>
      <c r="D295" s="11">
        <f t="shared" si="52"/>
        <v>-511925.12725340185</v>
      </c>
      <c r="E295" s="11">
        <f t="shared" si="52"/>
        <v>-453925.74226167111</v>
      </c>
      <c r="F295" s="11">
        <f t="shared" si="52"/>
        <v>-454731.28927544504</v>
      </c>
      <c r="G295" s="11">
        <f t="shared" si="52"/>
        <v>-483328.20826442348</v>
      </c>
      <c r="H295" s="11">
        <f t="shared" si="52"/>
        <v>-483328.20826442348</v>
      </c>
      <c r="I295" s="11">
        <f t="shared" si="53"/>
        <v>-460772.89187875035</v>
      </c>
      <c r="J295" s="11">
        <f t="shared" si="53"/>
        <v>-381023.73751512053</v>
      </c>
      <c r="K295" s="11">
        <f t="shared" si="53"/>
        <v>-432981.51990354602</v>
      </c>
      <c r="L295" s="11">
        <f t="shared" si="53"/>
        <v>-432981.51990354602</v>
      </c>
      <c r="M295" s="11">
        <f t="shared" si="53"/>
        <v>-432981.51990354602</v>
      </c>
      <c r="N295" s="11">
        <f t="shared" si="53"/>
        <v>-359676.74165010848</v>
      </c>
      <c r="O295" s="11">
        <f t="shared" si="53"/>
        <v>-296038.52756195934</v>
      </c>
      <c r="P295" s="11">
        <f t="shared" si="53"/>
        <v>-167553.77886500012</v>
      </c>
      <c r="Q295" s="11">
        <f t="shared" si="53"/>
        <v>-151040.06508263233</v>
      </c>
      <c r="R295" s="11">
        <f t="shared" si="53"/>
        <v>-160303.85574103377</v>
      </c>
      <c r="S295" s="11">
        <f t="shared" si="53"/>
        <v>-144998.46247932705</v>
      </c>
    </row>
    <row r="296" spans="1:19">
      <c r="A296">
        <v>16</v>
      </c>
      <c r="B296" s="11">
        <f t="shared" si="52"/>
        <v>-522041.38999434089</v>
      </c>
      <c r="C296" s="11">
        <f t="shared" si="52"/>
        <v>-497014.68665378832</v>
      </c>
      <c r="D296" s="11">
        <f t="shared" si="52"/>
        <v>-497014.68665378832</v>
      </c>
      <c r="E296" s="11">
        <f t="shared" si="52"/>
        <v>-440704.60413754487</v>
      </c>
      <c r="F296" s="11">
        <f t="shared" si="52"/>
        <v>-441486.68861693703</v>
      </c>
      <c r="G296" s="11">
        <f t="shared" si="52"/>
        <v>-469250.68763536267</v>
      </c>
      <c r="H296" s="11">
        <f t="shared" si="52"/>
        <v>-469250.68763536267</v>
      </c>
      <c r="I296" s="11">
        <f t="shared" si="53"/>
        <v>-447352.32221237902</v>
      </c>
      <c r="J296" s="11">
        <f t="shared" si="53"/>
        <v>-369925.95875254425</v>
      </c>
      <c r="K296" s="11">
        <f t="shared" si="53"/>
        <v>-420370.40767334576</v>
      </c>
      <c r="L296" s="11">
        <f t="shared" si="53"/>
        <v>-420370.40767334576</v>
      </c>
      <c r="M296" s="11">
        <f t="shared" si="53"/>
        <v>-420370.40767334576</v>
      </c>
      <c r="N296" s="11">
        <f t="shared" si="53"/>
        <v>-349200.72004864906</v>
      </c>
      <c r="O296" s="11">
        <f t="shared" si="53"/>
        <v>-287416.04617665964</v>
      </c>
      <c r="P296" s="11">
        <f t="shared" si="53"/>
        <v>-162673.57171359239</v>
      </c>
      <c r="Q296" s="11">
        <f t="shared" si="53"/>
        <v>-146640.83988605085</v>
      </c>
      <c r="R296" s="11">
        <f t="shared" si="53"/>
        <v>-155634.81139906193</v>
      </c>
      <c r="S296" s="11">
        <f t="shared" si="53"/>
        <v>-140775.2062906088</v>
      </c>
    </row>
    <row r="297" spans="1:19">
      <c r="A297">
        <v>17</v>
      </c>
      <c r="B297" s="11">
        <f t="shared" si="52"/>
        <v>-506836.30096537952</v>
      </c>
      <c r="C297" s="11">
        <f t="shared" si="52"/>
        <v>-482538.53073183331</v>
      </c>
      <c r="D297" s="11">
        <f t="shared" si="52"/>
        <v>-482538.53073183331</v>
      </c>
      <c r="E297" s="11">
        <f t="shared" si="52"/>
        <v>-427868.54770635423</v>
      </c>
      <c r="F297" s="11">
        <f t="shared" si="52"/>
        <v>-428627.85302615241</v>
      </c>
      <c r="G297" s="11">
        <f t="shared" si="52"/>
        <v>-455583.19187899289</v>
      </c>
      <c r="H297" s="11">
        <f t="shared" si="52"/>
        <v>-455583.19187899289</v>
      </c>
      <c r="I297" s="11">
        <f t="shared" si="53"/>
        <v>-434322.64292463986</v>
      </c>
      <c r="J297" s="11">
        <f t="shared" si="53"/>
        <v>-359151.41626460606</v>
      </c>
      <c r="K297" s="11">
        <f t="shared" si="53"/>
        <v>-408126.6093915978</v>
      </c>
      <c r="L297" s="11">
        <f t="shared" si="53"/>
        <v>-408126.6093915978</v>
      </c>
      <c r="M297" s="11">
        <f t="shared" si="53"/>
        <v>-408126.6093915978</v>
      </c>
      <c r="N297" s="11">
        <f t="shared" si="53"/>
        <v>-339029.82528995059</v>
      </c>
      <c r="O297" s="11">
        <f t="shared" si="53"/>
        <v>-279044.7050258831</v>
      </c>
      <c r="P297" s="11">
        <f t="shared" si="53"/>
        <v>-157935.50651805085</v>
      </c>
      <c r="Q297" s="11">
        <f t="shared" si="53"/>
        <v>-142369.74746218527</v>
      </c>
      <c r="R297" s="11">
        <f t="shared" si="53"/>
        <v>-151101.75863986593</v>
      </c>
      <c r="S297" s="11">
        <f t="shared" si="53"/>
        <v>-136674.95756369788</v>
      </c>
    </row>
    <row r="298" spans="1:19">
      <c r="A298">
        <v>18</v>
      </c>
      <c r="B298" s="11">
        <f t="shared" si="52"/>
        <v>-492074.07860716456</v>
      </c>
      <c r="C298" s="11">
        <f t="shared" si="52"/>
        <v>-468484.01041925565</v>
      </c>
      <c r="D298" s="11">
        <f t="shared" si="52"/>
        <v>-468484.01041925565</v>
      </c>
      <c r="E298" s="11">
        <f t="shared" si="52"/>
        <v>-415406.35699646041</v>
      </c>
      <c r="F298" s="11">
        <f t="shared" si="52"/>
        <v>-416143.54662733246</v>
      </c>
      <c r="G298" s="11">
        <f t="shared" si="52"/>
        <v>-442313.77852329408</v>
      </c>
      <c r="H298" s="11">
        <f t="shared" si="52"/>
        <v>-442313.77852329408</v>
      </c>
      <c r="I298" s="11">
        <f t="shared" si="53"/>
        <v>-421672.46885887365</v>
      </c>
      <c r="J298" s="11">
        <f t="shared" si="53"/>
        <v>-348690.6954025302</v>
      </c>
      <c r="K298" s="11">
        <f t="shared" si="53"/>
        <v>-396239.4265937843</v>
      </c>
      <c r="L298" s="11">
        <f t="shared" si="53"/>
        <v>-396239.4265937843</v>
      </c>
      <c r="M298" s="11">
        <f t="shared" si="53"/>
        <v>-396239.4265937843</v>
      </c>
      <c r="N298" s="11">
        <f t="shared" si="53"/>
        <v>-329155.17018441804</v>
      </c>
      <c r="O298" s="11">
        <f t="shared" si="53"/>
        <v>-270917.1893455176</v>
      </c>
      <c r="P298" s="11">
        <f t="shared" si="53"/>
        <v>-153335.44322140861</v>
      </c>
      <c r="Q298" s="11">
        <f t="shared" si="53"/>
        <v>-138223.0557885294</v>
      </c>
      <c r="R298" s="11">
        <f t="shared" si="53"/>
        <v>-146700.73654355918</v>
      </c>
      <c r="S298" s="11">
        <f t="shared" si="53"/>
        <v>-132694.13355698824</v>
      </c>
    </row>
    <row r="299" spans="1:19">
      <c r="A299">
        <v>19</v>
      </c>
      <c r="B299" s="11">
        <f t="shared" si="52"/>
        <v>-477741.82389045105</v>
      </c>
      <c r="C299" s="11">
        <f t="shared" si="52"/>
        <v>-454838.84506723849</v>
      </c>
      <c r="D299" s="11">
        <f t="shared" si="52"/>
        <v>-454838.84506723849</v>
      </c>
      <c r="E299" s="11">
        <f t="shared" si="52"/>
        <v>-403307.14271501009</v>
      </c>
      <c r="F299" s="11">
        <f t="shared" si="52"/>
        <v>-404022.86080323538</v>
      </c>
      <c r="G299" s="11">
        <f t="shared" si="52"/>
        <v>-429430.852935237</v>
      </c>
      <c r="H299" s="11">
        <f t="shared" si="52"/>
        <v>-429430.852935237</v>
      </c>
      <c r="I299" s="11">
        <f t="shared" si="53"/>
        <v>-409390.74646492588</v>
      </c>
      <c r="J299" s="11">
        <f t="shared" si="53"/>
        <v>-338534.65573061182</v>
      </c>
      <c r="K299" s="11">
        <f t="shared" si="53"/>
        <v>-384698.47242114978</v>
      </c>
      <c r="L299" s="11">
        <f t="shared" si="53"/>
        <v>-384698.47242114978</v>
      </c>
      <c r="M299" s="11">
        <f t="shared" si="53"/>
        <v>-384698.47242114978</v>
      </c>
      <c r="N299" s="11">
        <f t="shared" si="53"/>
        <v>-319568.12639263883</v>
      </c>
      <c r="O299" s="11">
        <f t="shared" si="53"/>
        <v>-263026.39742283261</v>
      </c>
      <c r="P299" s="11">
        <f t="shared" si="53"/>
        <v>-148869.36235088215</v>
      </c>
      <c r="Q299" s="11">
        <f t="shared" si="53"/>
        <v>-134197.14154226155</v>
      </c>
      <c r="R299" s="11">
        <f t="shared" si="53"/>
        <v>-142427.89955685358</v>
      </c>
      <c r="S299" s="11">
        <f t="shared" si="53"/>
        <v>-128829.2558805711</v>
      </c>
    </row>
    <row r="300" spans="1:19">
      <c r="A300">
        <v>20</v>
      </c>
      <c r="B300" s="11">
        <f t="shared" si="52"/>
        <v>-463827.01348587481</v>
      </c>
      <c r="C300" s="11">
        <f t="shared" si="52"/>
        <v>-441591.1117157655</v>
      </c>
      <c r="D300" s="11">
        <f t="shared" si="52"/>
        <v>-441591.1117157655</v>
      </c>
      <c r="E300" s="11">
        <f t="shared" si="52"/>
        <v>-391560.33273301955</v>
      </c>
      <c r="F300" s="11">
        <f t="shared" si="52"/>
        <v>-392255.20466333535</v>
      </c>
      <c r="G300" s="11">
        <f t="shared" si="52"/>
        <v>-416923.15818955045</v>
      </c>
      <c r="H300" s="11">
        <f t="shared" si="52"/>
        <v>-416923.15818955045</v>
      </c>
      <c r="I300" s="11">
        <f t="shared" si="53"/>
        <v>-397466.74414070474</v>
      </c>
      <c r="J300" s="11">
        <f t="shared" si="53"/>
        <v>-328674.42303942895</v>
      </c>
      <c r="K300" s="11">
        <f t="shared" si="53"/>
        <v>-373493.66254480561</v>
      </c>
      <c r="L300" s="11">
        <f t="shared" si="53"/>
        <v>-373493.66254480561</v>
      </c>
      <c r="M300" s="11">
        <f t="shared" si="53"/>
        <v>-373493.66254480561</v>
      </c>
      <c r="N300" s="11">
        <f t="shared" si="53"/>
        <v>-310260.31688605715</v>
      </c>
      <c r="O300" s="11">
        <f t="shared" si="53"/>
        <v>-255365.43439109964</v>
      </c>
      <c r="P300" s="11">
        <f t="shared" si="53"/>
        <v>-144533.36150571081</v>
      </c>
      <c r="Q300" s="11">
        <f t="shared" si="53"/>
        <v>-130288.48693423452</v>
      </c>
      <c r="R300" s="11">
        <f t="shared" si="53"/>
        <v>-138279.51413286754</v>
      </c>
      <c r="S300" s="11">
        <f t="shared" si="53"/>
        <v>-125076.94745686515</v>
      </c>
    </row>
    <row r="301" spans="1:19">
      <c r="B301" s="11"/>
      <c r="C301" s="11"/>
      <c r="D301" s="11"/>
      <c r="E301" s="11"/>
      <c r="F301" s="11"/>
      <c r="G301" s="11"/>
      <c r="H301" s="11"/>
      <c r="I301" s="11"/>
      <c r="J301" s="11"/>
      <c r="K301" s="11"/>
      <c r="L301" s="11"/>
      <c r="M301" s="11"/>
      <c r="N301" s="11"/>
      <c r="O301" s="11"/>
      <c r="P301" s="11"/>
      <c r="Q301" s="11"/>
      <c r="R301" s="11"/>
      <c r="S301" s="11"/>
    </row>
    <row r="302" spans="1:19">
      <c r="A302" t="s">
        <v>225</v>
      </c>
      <c r="B302" s="11">
        <f>SUM(B281:B300)</f>
        <v>-12487605.254742688</v>
      </c>
      <c r="C302" s="11">
        <f t="shared" ref="C302:O302" si="54">SUM(C281:C300)</f>
        <v>-11888948.523429183</v>
      </c>
      <c r="D302" s="11">
        <f t="shared" si="54"/>
        <v>-11888948.523429183</v>
      </c>
      <c r="E302" s="11">
        <f t="shared" si="54"/>
        <v>-10541970.877973795</v>
      </c>
      <c r="F302" s="11">
        <f t="shared" si="54"/>
        <v>-10560678.900827337</v>
      </c>
      <c r="G302" s="11">
        <f t="shared" si="54"/>
        <v>-11224813.712128263</v>
      </c>
      <c r="H302" s="11">
        <f t="shared" si="54"/>
        <v>-11224813.712128263</v>
      </c>
      <c r="I302" s="11">
        <f t="shared" si="54"/>
        <v>-10700989.072228944</v>
      </c>
      <c r="J302" s="11">
        <f t="shared" si="54"/>
        <v>-8848894.8097277805</v>
      </c>
      <c r="K302" s="11">
        <f t="shared" si="54"/>
        <v>-10055562.283781568</v>
      </c>
      <c r="L302" s="11">
        <f t="shared" si="54"/>
        <v>-10055562.283781568</v>
      </c>
      <c r="M302" s="11">
        <f t="shared" si="54"/>
        <v>-10055562.283781568</v>
      </c>
      <c r="N302" s="11">
        <f t="shared" si="54"/>
        <v>-8353132.2041087812</v>
      </c>
      <c r="O302" s="11">
        <f t="shared" si="54"/>
        <v>-6875198.3986785589</v>
      </c>
      <c r="P302" s="11">
        <f>SUM(P281:P300)</f>
        <v>-3891268.7535377974</v>
      </c>
      <c r="Q302" s="11">
        <f>SUM(Q281:Q300)</f>
        <v>-3507754.2850400815</v>
      </c>
      <c r="R302" s="11">
        <f>SUM(R281:R300)</f>
        <v>-3722896.5478558736</v>
      </c>
      <c r="S302" s="11">
        <f>SUM(S281:S300)</f>
        <v>-3367444.1136384783</v>
      </c>
    </row>
    <row r="304" spans="1:19">
      <c r="A304" t="s">
        <v>200</v>
      </c>
    </row>
    <row r="305" spans="1:19">
      <c r="A305" t="s">
        <v>100</v>
      </c>
    </row>
    <row r="306" spans="1:19">
      <c r="A306">
        <v>1</v>
      </c>
      <c r="B306" s="11">
        <f t="shared" ref="B306:S306" si="55">-$B$176*B243</f>
        <v>-271373.57692835573</v>
      </c>
      <c r="C306" s="11">
        <f t="shared" si="55"/>
        <v>-274682.11386584188</v>
      </c>
      <c r="D306" s="11">
        <f t="shared" si="55"/>
        <v>-274682.30902022269</v>
      </c>
      <c r="E306" s="11">
        <f t="shared" si="55"/>
        <v>-283301.12304730603</v>
      </c>
      <c r="F306" s="11">
        <f t="shared" si="55"/>
        <v>-283084.38962134236</v>
      </c>
      <c r="G306" s="11">
        <f t="shared" si="55"/>
        <v>-279363.33497924218</v>
      </c>
      <c r="H306" s="11">
        <f t="shared" si="55"/>
        <v>-279363.05844271759</v>
      </c>
      <c r="I306" s="11">
        <f t="shared" si="55"/>
        <v>-283269.9089260475</v>
      </c>
      <c r="J306" s="11">
        <f t="shared" si="55"/>
        <v>-295749.80656024622</v>
      </c>
      <c r="K306" s="11">
        <f t="shared" si="55"/>
        <v>-288157.8043069081</v>
      </c>
      <c r="L306" s="11">
        <f t="shared" si="55"/>
        <v>-288157.00114653079</v>
      </c>
      <c r="M306" s="11">
        <f t="shared" si="55"/>
        <v>-288157.18401220796</v>
      </c>
      <c r="N306" s="11">
        <f t="shared" si="55"/>
        <v>-299689.5993960406</v>
      </c>
      <c r="O306" s="11">
        <f t="shared" si="55"/>
        <v>-311863.35278644977</v>
      </c>
      <c r="P306" s="11">
        <f t="shared" si="55"/>
        <v>-335860.10293435596</v>
      </c>
      <c r="Q306" s="11">
        <f t="shared" si="55"/>
        <v>-338750.90679254179</v>
      </c>
      <c r="R306" s="11">
        <f t="shared" si="55"/>
        <v>-337046.19820004905</v>
      </c>
      <c r="S306" s="11">
        <f t="shared" si="55"/>
        <v>-339906.80008669896</v>
      </c>
    </row>
    <row r="307" spans="1:19">
      <c r="A307">
        <v>2</v>
      </c>
      <c r="B307" s="11">
        <f t="shared" ref="B307:H316" si="56">B$306/((1+$B$173)^$A307)</f>
        <v>-255795.62345966231</v>
      </c>
      <c r="C307" s="11">
        <f t="shared" si="56"/>
        <v>-258914.23684215467</v>
      </c>
      <c r="D307" s="11">
        <f t="shared" si="56"/>
        <v>-258914.42079387567</v>
      </c>
      <c r="E307" s="11">
        <f t="shared" si="56"/>
        <v>-267038.47963738907</v>
      </c>
      <c r="F307" s="11">
        <f t="shared" si="56"/>
        <v>-266834.18759670312</v>
      </c>
      <c r="G307" s="11">
        <f t="shared" si="56"/>
        <v>-263326.73671339633</v>
      </c>
      <c r="H307" s="11">
        <f t="shared" si="56"/>
        <v>-263326.47605119954</v>
      </c>
      <c r="I307" s="11">
        <f t="shared" ref="I307:S316" si="57">I$306/((1+$B$173)^$A307)</f>
        <v>-267009.05733438354</v>
      </c>
      <c r="J307" s="11">
        <f t="shared" si="57"/>
        <v>-278772.55779078731</v>
      </c>
      <c r="K307" s="11">
        <f t="shared" si="57"/>
        <v>-271616.36752465653</v>
      </c>
      <c r="L307" s="11">
        <f t="shared" si="57"/>
        <v>-271615.6104689705</v>
      </c>
      <c r="M307" s="11">
        <f t="shared" si="57"/>
        <v>-271615.7828374097</v>
      </c>
      <c r="N307" s="11">
        <f t="shared" si="57"/>
        <v>-282486.19040064153</v>
      </c>
      <c r="O307" s="11">
        <f t="shared" si="57"/>
        <v>-293961.12054524443</v>
      </c>
      <c r="P307" s="11">
        <f t="shared" si="57"/>
        <v>-316580.35906716558</v>
      </c>
      <c r="Q307" s="11">
        <f t="shared" si="57"/>
        <v>-319305.2189579996</v>
      </c>
      <c r="R307" s="11">
        <f t="shared" si="57"/>
        <v>-317698.36761245079</v>
      </c>
      <c r="S307" s="11">
        <f t="shared" si="57"/>
        <v>-320394.75924846734</v>
      </c>
    </row>
    <row r="308" spans="1:19">
      <c r="A308">
        <v>3</v>
      </c>
      <c r="B308" s="11">
        <f t="shared" si="56"/>
        <v>-248345.26549481775</v>
      </c>
      <c r="C308" s="11">
        <f t="shared" si="56"/>
        <v>-251373.04547782007</v>
      </c>
      <c r="D308" s="11">
        <f t="shared" si="56"/>
        <v>-251373.22407172393</v>
      </c>
      <c r="E308" s="11">
        <f t="shared" si="56"/>
        <v>-259260.65984212529</v>
      </c>
      <c r="F308" s="11">
        <f t="shared" si="56"/>
        <v>-259062.31805505158</v>
      </c>
      <c r="G308" s="11">
        <f t="shared" si="56"/>
        <v>-255657.02593533625</v>
      </c>
      <c r="H308" s="11">
        <f t="shared" si="56"/>
        <v>-255656.77286524227</v>
      </c>
      <c r="I308" s="11">
        <f t="shared" si="57"/>
        <v>-259232.09449940149</v>
      </c>
      <c r="J308" s="11">
        <f t="shared" si="57"/>
        <v>-270652.96872891969</v>
      </c>
      <c r="K308" s="11">
        <f t="shared" si="57"/>
        <v>-263705.2111889869</v>
      </c>
      <c r="L308" s="11">
        <f t="shared" si="57"/>
        <v>-263704.4761834665</v>
      </c>
      <c r="M308" s="11">
        <f t="shared" si="57"/>
        <v>-263704.64353146573</v>
      </c>
      <c r="N308" s="11">
        <f t="shared" si="57"/>
        <v>-274258.43728217622</v>
      </c>
      <c r="O308" s="11">
        <f t="shared" si="57"/>
        <v>-285399.14616043144</v>
      </c>
      <c r="P308" s="11">
        <f t="shared" si="57"/>
        <v>-307359.5719098695</v>
      </c>
      <c r="Q308" s="11">
        <f t="shared" si="57"/>
        <v>-310005.06694951421</v>
      </c>
      <c r="R308" s="11">
        <f t="shared" si="57"/>
        <v>-308445.01709946682</v>
      </c>
      <c r="S308" s="11">
        <f t="shared" si="57"/>
        <v>-311062.87305676437</v>
      </c>
    </row>
    <row r="309" spans="1:19">
      <c r="A309">
        <v>4</v>
      </c>
      <c r="B309" s="11">
        <f t="shared" si="56"/>
        <v>-241111.90824739591</v>
      </c>
      <c r="C309" s="11">
        <f t="shared" si="56"/>
        <v>-244051.50046390298</v>
      </c>
      <c r="D309" s="11">
        <f t="shared" si="56"/>
        <v>-244051.67385604267</v>
      </c>
      <c r="E309" s="11">
        <f t="shared" si="56"/>
        <v>-251709.37848750027</v>
      </c>
      <c r="F309" s="11">
        <f t="shared" si="56"/>
        <v>-251516.81364568116</v>
      </c>
      <c r="G309" s="11">
        <f t="shared" si="56"/>
        <v>-248210.70479158862</v>
      </c>
      <c r="H309" s="11">
        <f t="shared" si="56"/>
        <v>-248210.45909246826</v>
      </c>
      <c r="I309" s="11">
        <f t="shared" si="57"/>
        <v>-251681.64514505002</v>
      </c>
      <c r="J309" s="11">
        <f t="shared" si="57"/>
        <v>-262769.87255234923</v>
      </c>
      <c r="K309" s="11">
        <f t="shared" si="57"/>
        <v>-256024.47688251158</v>
      </c>
      <c r="L309" s="11">
        <f t="shared" si="57"/>
        <v>-256023.76328491894</v>
      </c>
      <c r="M309" s="11">
        <f t="shared" si="57"/>
        <v>-256023.92575870463</v>
      </c>
      <c r="N309" s="11">
        <f t="shared" si="57"/>
        <v>-266270.32745842356</v>
      </c>
      <c r="O309" s="11">
        <f t="shared" si="57"/>
        <v>-277086.54967032181</v>
      </c>
      <c r="P309" s="11">
        <f t="shared" si="57"/>
        <v>-298407.35136880534</v>
      </c>
      <c r="Q309" s="11">
        <f t="shared" si="57"/>
        <v>-300975.79315486818</v>
      </c>
      <c r="R309" s="11">
        <f t="shared" si="57"/>
        <v>-299461.1816499678</v>
      </c>
      <c r="S309" s="11">
        <f t="shared" si="57"/>
        <v>-302002.78937549941</v>
      </c>
    </row>
    <row r="310" spans="1:19">
      <c r="A310">
        <v>5</v>
      </c>
      <c r="B310" s="11">
        <f t="shared" si="56"/>
        <v>-234089.23130815139</v>
      </c>
      <c r="C310" s="11">
        <f t="shared" si="56"/>
        <v>-236943.20433388642</v>
      </c>
      <c r="D310" s="11">
        <f t="shared" si="56"/>
        <v>-236943.37267576961</v>
      </c>
      <c r="E310" s="11">
        <f t="shared" si="56"/>
        <v>-244378.03736650516</v>
      </c>
      <c r="F310" s="11">
        <f t="shared" si="56"/>
        <v>-244191.08120939921</v>
      </c>
      <c r="G310" s="11">
        <f t="shared" si="56"/>
        <v>-240981.26678795012</v>
      </c>
      <c r="H310" s="11">
        <f t="shared" si="56"/>
        <v>-240981.02824511481</v>
      </c>
      <c r="I310" s="11">
        <f t="shared" si="57"/>
        <v>-244351.11179131072</v>
      </c>
      <c r="J310" s="11">
        <f t="shared" si="57"/>
        <v>-255116.38111878568</v>
      </c>
      <c r="K310" s="11">
        <f t="shared" si="57"/>
        <v>-248567.45328399184</v>
      </c>
      <c r="L310" s="11">
        <f t="shared" si="57"/>
        <v>-248566.7604707951</v>
      </c>
      <c r="M310" s="11">
        <f t="shared" si="57"/>
        <v>-248566.9182123346</v>
      </c>
      <c r="N310" s="11">
        <f t="shared" si="57"/>
        <v>-258514.88102759569</v>
      </c>
      <c r="O310" s="11">
        <f t="shared" si="57"/>
        <v>-269016.06764108915</v>
      </c>
      <c r="P310" s="11">
        <f t="shared" si="57"/>
        <v>-289715.875115345</v>
      </c>
      <c r="Q310" s="11">
        <f t="shared" si="57"/>
        <v>-292209.50791734777</v>
      </c>
      <c r="R310" s="11">
        <f t="shared" si="57"/>
        <v>-290739.01131064835</v>
      </c>
      <c r="S310" s="11">
        <f t="shared" si="57"/>
        <v>-293206.5916266985</v>
      </c>
    </row>
    <row r="311" spans="1:19">
      <c r="A311">
        <v>6</v>
      </c>
      <c r="B311" s="11">
        <f t="shared" si="56"/>
        <v>-227271.09835742851</v>
      </c>
      <c r="C311" s="11">
        <f t="shared" si="56"/>
        <v>-230041.94595522952</v>
      </c>
      <c r="D311" s="11">
        <f t="shared" si="56"/>
        <v>-230042.10939395105</v>
      </c>
      <c r="E311" s="11">
        <f t="shared" si="56"/>
        <v>-237260.2304529176</v>
      </c>
      <c r="F311" s="11">
        <f t="shared" si="56"/>
        <v>-237078.71962077593</v>
      </c>
      <c r="G311" s="11">
        <f t="shared" si="56"/>
        <v>-233962.39493975739</v>
      </c>
      <c r="H311" s="11">
        <f t="shared" si="56"/>
        <v>-233962.16334477166</v>
      </c>
      <c r="I311" s="11">
        <f t="shared" si="57"/>
        <v>-237234.08911777739</v>
      </c>
      <c r="J311" s="11">
        <f t="shared" si="57"/>
        <v>-247685.80691144237</v>
      </c>
      <c r="K311" s="11">
        <f t="shared" si="57"/>
        <v>-241327.62454756489</v>
      </c>
      <c r="L311" s="11">
        <f t="shared" si="57"/>
        <v>-241326.95191339331</v>
      </c>
      <c r="M311" s="11">
        <f t="shared" si="57"/>
        <v>-241327.10506051901</v>
      </c>
      <c r="N311" s="11">
        <f t="shared" si="57"/>
        <v>-250985.32138601525</v>
      </c>
      <c r="O311" s="11">
        <f t="shared" si="57"/>
        <v>-261180.64819523218</v>
      </c>
      <c r="P311" s="11">
        <f t="shared" si="57"/>
        <v>-281277.54865567479</v>
      </c>
      <c r="Q311" s="11">
        <f t="shared" si="57"/>
        <v>-283698.55137606576</v>
      </c>
      <c r="R311" s="11">
        <f t="shared" si="57"/>
        <v>-282270.88476761972</v>
      </c>
      <c r="S311" s="11">
        <f t="shared" si="57"/>
        <v>-284666.59381232859</v>
      </c>
    </row>
    <row r="312" spans="1:19">
      <c r="A312">
        <v>7</v>
      </c>
      <c r="B312" s="11">
        <f t="shared" si="56"/>
        <v>-220651.55180332865</v>
      </c>
      <c r="C312" s="11">
        <f t="shared" si="56"/>
        <v>-223341.69510216455</v>
      </c>
      <c r="D312" s="11">
        <f t="shared" si="56"/>
        <v>-223341.85378053499</v>
      </c>
      <c r="E312" s="11">
        <f t="shared" si="56"/>
        <v>-230349.73830380349</v>
      </c>
      <c r="F312" s="11">
        <f t="shared" si="56"/>
        <v>-230173.51419492805</v>
      </c>
      <c r="G312" s="11">
        <f t="shared" si="56"/>
        <v>-227147.95625219162</v>
      </c>
      <c r="H312" s="11">
        <f t="shared" si="56"/>
        <v>-227147.7314026909</v>
      </c>
      <c r="I312" s="11">
        <f t="shared" si="57"/>
        <v>-230324.35836677413</v>
      </c>
      <c r="J312" s="11">
        <f t="shared" si="57"/>
        <v>-240471.65719557513</v>
      </c>
      <c r="K312" s="11">
        <f t="shared" si="57"/>
        <v>-234298.66460928629</v>
      </c>
      <c r="L312" s="11">
        <f t="shared" si="57"/>
        <v>-234298.01156640126</v>
      </c>
      <c r="M312" s="11">
        <f t="shared" si="57"/>
        <v>-234298.16025293106</v>
      </c>
      <c r="N312" s="11">
        <f t="shared" si="57"/>
        <v>-243675.06930681088</v>
      </c>
      <c r="O312" s="11">
        <f t="shared" si="57"/>
        <v>-253573.44484973996</v>
      </c>
      <c r="P312" s="11">
        <f t="shared" si="57"/>
        <v>-273084.99869482988</v>
      </c>
      <c r="Q312" s="11">
        <f t="shared" si="57"/>
        <v>-275435.48677287938</v>
      </c>
      <c r="R312" s="11">
        <f t="shared" si="57"/>
        <v>-274049.40268700942</v>
      </c>
      <c r="S312" s="11">
        <f t="shared" si="57"/>
        <v>-276375.33379837725</v>
      </c>
    </row>
    <row r="313" spans="1:19">
      <c r="A313">
        <v>8</v>
      </c>
      <c r="B313" s="11">
        <f t="shared" si="56"/>
        <v>-214224.80757604726</v>
      </c>
      <c r="C313" s="11">
        <f t="shared" si="56"/>
        <v>-216836.59718656755</v>
      </c>
      <c r="D313" s="11">
        <f t="shared" si="56"/>
        <v>-216836.7512432379</v>
      </c>
      <c r="E313" s="11">
        <f t="shared" si="56"/>
        <v>-223640.52262505196</v>
      </c>
      <c r="F313" s="11">
        <f t="shared" si="56"/>
        <v>-223469.43125721175</v>
      </c>
      <c r="G313" s="11">
        <f t="shared" si="56"/>
        <v>-220531.99636135111</v>
      </c>
      <c r="H313" s="11">
        <f t="shared" si="56"/>
        <v>-220531.77806086498</v>
      </c>
      <c r="I313" s="11">
        <f t="shared" si="57"/>
        <v>-223615.88190948949</v>
      </c>
      <c r="J313" s="11">
        <f t="shared" si="57"/>
        <v>-233467.62834521857</v>
      </c>
      <c r="K313" s="11">
        <f t="shared" si="57"/>
        <v>-227474.43165950128</v>
      </c>
      <c r="L313" s="11">
        <f t="shared" si="57"/>
        <v>-227473.79763728278</v>
      </c>
      <c r="M313" s="11">
        <f t="shared" si="57"/>
        <v>-227473.94199313698</v>
      </c>
      <c r="N313" s="11">
        <f t="shared" si="57"/>
        <v>-236577.73719107857</v>
      </c>
      <c r="O313" s="11">
        <f t="shared" si="57"/>
        <v>-246187.81053372816</v>
      </c>
      <c r="P313" s="11">
        <f t="shared" si="57"/>
        <v>-265131.06669400958</v>
      </c>
      <c r="Q313" s="11">
        <f t="shared" si="57"/>
        <v>-267413.09395425185</v>
      </c>
      <c r="R313" s="11">
        <f t="shared" si="57"/>
        <v>-266067.38124952378</v>
      </c>
      <c r="S313" s="11">
        <f t="shared" si="57"/>
        <v>-268325.56679454108</v>
      </c>
    </row>
    <row r="314" spans="1:19">
      <c r="A314">
        <v>9</v>
      </c>
      <c r="B314" s="11">
        <f t="shared" si="56"/>
        <v>-207985.25007383226</v>
      </c>
      <c r="C314" s="11">
        <f t="shared" si="56"/>
        <v>-210520.9681422986</v>
      </c>
      <c r="D314" s="11">
        <f t="shared" si="56"/>
        <v>-210521.11771188144</v>
      </c>
      <c r="E314" s="11">
        <f t="shared" si="56"/>
        <v>-217126.72099519605</v>
      </c>
      <c r="F314" s="11">
        <f t="shared" si="56"/>
        <v>-216960.61287107936</v>
      </c>
      <c r="G314" s="11">
        <f t="shared" si="56"/>
        <v>-214108.73433140884</v>
      </c>
      <c r="H314" s="11">
        <f t="shared" si="56"/>
        <v>-214108.52238918931</v>
      </c>
      <c r="I314" s="11">
        <f t="shared" si="57"/>
        <v>-217102.79797037813</v>
      </c>
      <c r="J314" s="11">
        <f t="shared" si="57"/>
        <v>-226667.60033516368</v>
      </c>
      <c r="K314" s="11">
        <f t="shared" si="57"/>
        <v>-220848.96277621482</v>
      </c>
      <c r="L314" s="11">
        <f t="shared" si="57"/>
        <v>-220848.34722066289</v>
      </c>
      <c r="M314" s="11">
        <f t="shared" si="57"/>
        <v>-220848.48737197765</v>
      </c>
      <c r="N314" s="11">
        <f t="shared" si="57"/>
        <v>-229687.12348648402</v>
      </c>
      <c r="O314" s="11">
        <f t="shared" si="57"/>
        <v>-239017.29178031857</v>
      </c>
      <c r="P314" s="11">
        <f t="shared" si="57"/>
        <v>-257408.80261554327</v>
      </c>
      <c r="Q314" s="11">
        <f t="shared" si="57"/>
        <v>-259624.36306238041</v>
      </c>
      <c r="R314" s="11">
        <f t="shared" si="57"/>
        <v>-258317.84587332403</v>
      </c>
      <c r="S314" s="11">
        <f t="shared" si="57"/>
        <v>-260510.25902382628</v>
      </c>
    </row>
    <row r="315" spans="1:19">
      <c r="A315">
        <v>10</v>
      </c>
      <c r="B315" s="11">
        <f t="shared" si="56"/>
        <v>-201927.42725614784</v>
      </c>
      <c r="C315" s="11">
        <f t="shared" si="56"/>
        <v>-204389.28945854233</v>
      </c>
      <c r="D315" s="11">
        <f t="shared" si="56"/>
        <v>-204389.43467172954</v>
      </c>
      <c r="E315" s="11">
        <f t="shared" si="56"/>
        <v>-210802.6417429088</v>
      </c>
      <c r="F315" s="11">
        <f t="shared" si="56"/>
        <v>-210641.37171949452</v>
      </c>
      <c r="G315" s="11">
        <f t="shared" si="56"/>
        <v>-207872.55760330957</v>
      </c>
      <c r="H315" s="11">
        <f t="shared" si="56"/>
        <v>-207872.35183416438</v>
      </c>
      <c r="I315" s="11">
        <f t="shared" si="57"/>
        <v>-210779.41550522149</v>
      </c>
      <c r="J315" s="11">
        <f t="shared" si="57"/>
        <v>-220065.6313933628</v>
      </c>
      <c r="K315" s="11">
        <f t="shared" si="57"/>
        <v>-214416.46871477168</v>
      </c>
      <c r="L315" s="11">
        <f t="shared" si="57"/>
        <v>-214415.87108802222</v>
      </c>
      <c r="M315" s="11">
        <f t="shared" si="57"/>
        <v>-214416.00715725985</v>
      </c>
      <c r="N315" s="11">
        <f t="shared" si="57"/>
        <v>-222997.20726843111</v>
      </c>
      <c r="O315" s="11">
        <f t="shared" si="57"/>
        <v>-232055.62308768794</v>
      </c>
      <c r="P315" s="11">
        <f t="shared" si="57"/>
        <v>-249911.45885004202</v>
      </c>
      <c r="Q315" s="11">
        <f t="shared" si="57"/>
        <v>-252062.48841007808</v>
      </c>
      <c r="R315" s="11">
        <f t="shared" si="57"/>
        <v>-250794.02511973208</v>
      </c>
      <c r="S315" s="11">
        <f t="shared" si="57"/>
        <v>-252922.58157653036</v>
      </c>
    </row>
    <row r="316" spans="1:19">
      <c r="A316">
        <v>11</v>
      </c>
      <c r="B316" s="11">
        <f t="shared" si="56"/>
        <v>-196046.04587975517</v>
      </c>
      <c r="C316" s="11">
        <f t="shared" si="56"/>
        <v>-198436.20335780809</v>
      </c>
      <c r="D316" s="11">
        <f t="shared" si="56"/>
        <v>-198436.344341485</v>
      </c>
      <c r="E316" s="11">
        <f t="shared" si="56"/>
        <v>-204662.75897369787</v>
      </c>
      <c r="F316" s="11">
        <f t="shared" si="56"/>
        <v>-204506.18613543155</v>
      </c>
      <c r="G316" s="11">
        <f t="shared" si="56"/>
        <v>-201818.01709059181</v>
      </c>
      <c r="H316" s="11">
        <f t="shared" si="56"/>
        <v>-201817.81731472269</v>
      </c>
      <c r="I316" s="11">
        <f t="shared" si="57"/>
        <v>-204640.20922837037</v>
      </c>
      <c r="J316" s="11">
        <f t="shared" si="57"/>
        <v>-213655.95280909009</v>
      </c>
      <c r="K316" s="11">
        <f t="shared" si="57"/>
        <v>-208171.32884929288</v>
      </c>
      <c r="L316" s="11">
        <f t="shared" si="57"/>
        <v>-208170.7486291478</v>
      </c>
      <c r="M316" s="11">
        <f t="shared" si="57"/>
        <v>-208170.88073520374</v>
      </c>
      <c r="N316" s="11">
        <f t="shared" si="57"/>
        <v>-216502.14297905931</v>
      </c>
      <c r="O316" s="11">
        <f t="shared" si="57"/>
        <v>-225296.72144435722</v>
      </c>
      <c r="P316" s="11">
        <f t="shared" si="57"/>
        <v>-242632.48432042915</v>
      </c>
      <c r="Q316" s="11">
        <f t="shared" si="57"/>
        <v>-244720.86253405639</v>
      </c>
      <c r="R316" s="11">
        <f t="shared" si="57"/>
        <v>-243489.3447764389</v>
      </c>
      <c r="S316" s="11">
        <f t="shared" si="57"/>
        <v>-245555.90444323336</v>
      </c>
    </row>
    <row r="317" spans="1:19">
      <c r="A317">
        <v>12</v>
      </c>
      <c r="B317" s="11">
        <f t="shared" ref="B317:H325" si="58">B$306/((1+$B$173)^$A317)</f>
        <v>-190335.96687354875</v>
      </c>
      <c r="C317" s="11">
        <f t="shared" si="58"/>
        <v>-192656.5081143768</v>
      </c>
      <c r="D317" s="11">
        <f t="shared" si="58"/>
        <v>-192656.64499173305</v>
      </c>
      <c r="E317" s="11">
        <f t="shared" si="58"/>
        <v>-198701.70774145427</v>
      </c>
      <c r="F317" s="11">
        <f t="shared" si="58"/>
        <v>-198549.69527711804</v>
      </c>
      <c r="G317" s="11">
        <f t="shared" si="58"/>
        <v>-195939.82241805032</v>
      </c>
      <c r="H317" s="11">
        <f t="shared" si="58"/>
        <v>-195939.62846089585</v>
      </c>
      <c r="I317" s="11">
        <f t="shared" ref="I317:S325" si="59">I$306/((1+$B$173)^$A317)</f>
        <v>-198679.81478482563</v>
      </c>
      <c r="J317" s="11">
        <f t="shared" si="59"/>
        <v>-207432.96389232049</v>
      </c>
      <c r="K317" s="11">
        <f t="shared" si="59"/>
        <v>-202108.08626144941</v>
      </c>
      <c r="L317" s="11">
        <f t="shared" si="59"/>
        <v>-202107.5229409202</v>
      </c>
      <c r="M317" s="11">
        <f t="shared" si="59"/>
        <v>-202107.65119922697</v>
      </c>
      <c r="N317" s="11">
        <f t="shared" si="59"/>
        <v>-210196.25531947511</v>
      </c>
      <c r="O317" s="11">
        <f t="shared" si="59"/>
        <v>-218734.68101393909</v>
      </c>
      <c r="P317" s="11">
        <f t="shared" si="59"/>
        <v>-235565.51875769824</v>
      </c>
      <c r="Q317" s="11">
        <f t="shared" si="59"/>
        <v>-237593.07042141398</v>
      </c>
      <c r="R317" s="11">
        <f t="shared" si="59"/>
        <v>-236397.42211304751</v>
      </c>
      <c r="S317" s="11">
        <f t="shared" si="59"/>
        <v>-238403.7907215858</v>
      </c>
    </row>
    <row r="318" spans="1:19">
      <c r="A318">
        <v>13</v>
      </c>
      <c r="B318" s="11">
        <f t="shared" si="58"/>
        <v>-184792.2008481056</v>
      </c>
      <c r="C318" s="11">
        <f t="shared" si="58"/>
        <v>-187045.15350910369</v>
      </c>
      <c r="D318" s="11">
        <f t="shared" si="58"/>
        <v>-187045.28639974081</v>
      </c>
      <c r="E318" s="11">
        <f t="shared" si="58"/>
        <v>-192914.27936063521</v>
      </c>
      <c r="F318" s="11">
        <f t="shared" si="58"/>
        <v>-192766.69444380395</v>
      </c>
      <c r="G318" s="11">
        <f t="shared" si="58"/>
        <v>-190232.837299078</v>
      </c>
      <c r="H318" s="11">
        <f t="shared" si="58"/>
        <v>-190232.64899116103</v>
      </c>
      <c r="I318" s="11">
        <f t="shared" si="59"/>
        <v>-192893.0240629375</v>
      </c>
      <c r="J318" s="11">
        <f t="shared" si="59"/>
        <v>-201391.22707992283</v>
      </c>
      <c r="K318" s="11">
        <f t="shared" si="59"/>
        <v>-196221.44297228102</v>
      </c>
      <c r="L318" s="11">
        <f t="shared" si="59"/>
        <v>-196220.89605914583</v>
      </c>
      <c r="M318" s="11">
        <f t="shared" si="59"/>
        <v>-196221.02058177374</v>
      </c>
      <c r="N318" s="11">
        <f t="shared" si="59"/>
        <v>-204074.03429075252</v>
      </c>
      <c r="O318" s="11">
        <f t="shared" si="59"/>
        <v>-212363.76797469816</v>
      </c>
      <c r="P318" s="11">
        <f t="shared" si="59"/>
        <v>-228704.38714339636</v>
      </c>
      <c r="Q318" s="11">
        <f t="shared" si="59"/>
        <v>-230672.88390428544</v>
      </c>
      <c r="R318" s="11">
        <f t="shared" si="59"/>
        <v>-229512.06030392964</v>
      </c>
      <c r="S318" s="11">
        <f t="shared" si="59"/>
        <v>-231459.99099183088</v>
      </c>
    </row>
    <row r="319" spans="1:19">
      <c r="A319">
        <v>14</v>
      </c>
      <c r="B319" s="11">
        <f t="shared" si="58"/>
        <v>-179409.9037360248</v>
      </c>
      <c r="C319" s="11">
        <f t="shared" si="58"/>
        <v>-181597.2364166055</v>
      </c>
      <c r="D319" s="11">
        <f t="shared" si="58"/>
        <v>-181597.36543664156</v>
      </c>
      <c r="E319" s="11">
        <f t="shared" si="58"/>
        <v>-187295.41685498561</v>
      </c>
      <c r="F319" s="11">
        <f t="shared" si="58"/>
        <v>-187152.13052796497</v>
      </c>
      <c r="G319" s="11">
        <f t="shared" si="58"/>
        <v>-184692.07504764851</v>
      </c>
      <c r="H319" s="11">
        <f t="shared" si="58"/>
        <v>-184691.89222442816</v>
      </c>
      <c r="I319" s="11">
        <f t="shared" si="59"/>
        <v>-187274.78064362862</v>
      </c>
      <c r="J319" s="11">
        <f t="shared" si="59"/>
        <v>-195525.46318439106</v>
      </c>
      <c r="K319" s="11">
        <f t="shared" si="59"/>
        <v>-190506.25531289415</v>
      </c>
      <c r="L319" s="11">
        <f t="shared" si="59"/>
        <v>-190505.72432926777</v>
      </c>
      <c r="M319" s="11">
        <f t="shared" si="59"/>
        <v>-190505.84522502305</v>
      </c>
      <c r="N319" s="11">
        <f t="shared" si="59"/>
        <v>-198130.13037937137</v>
      </c>
      <c r="O319" s="11">
        <f t="shared" si="59"/>
        <v>-206178.41550941564</v>
      </c>
      <c r="P319" s="11">
        <f t="shared" si="59"/>
        <v>-222043.09431397702</v>
      </c>
      <c r="Q319" s="11">
        <f t="shared" si="59"/>
        <v>-223954.25621775285</v>
      </c>
      <c r="R319" s="11">
        <f t="shared" si="59"/>
        <v>-222827.2430135239</v>
      </c>
      <c r="S319" s="11">
        <f t="shared" si="59"/>
        <v>-224718.43785614648</v>
      </c>
    </row>
    <row r="320" spans="1:19">
      <c r="A320">
        <v>15</v>
      </c>
      <c r="B320" s="11">
        <f t="shared" si="58"/>
        <v>-174184.37255924739</v>
      </c>
      <c r="C320" s="11">
        <f t="shared" si="58"/>
        <v>-176307.99652097622</v>
      </c>
      <c r="D320" s="11">
        <f t="shared" si="58"/>
        <v>-176308.12178314713</v>
      </c>
      <c r="E320" s="11">
        <f t="shared" si="58"/>
        <v>-181840.21053882097</v>
      </c>
      <c r="F320" s="11">
        <f t="shared" si="58"/>
        <v>-181701.09759996599</v>
      </c>
      <c r="G320" s="11">
        <f t="shared" si="58"/>
        <v>-179312.69422101797</v>
      </c>
      <c r="H320" s="11">
        <f t="shared" si="58"/>
        <v>-179312.51672274576</v>
      </c>
      <c r="I320" s="11">
        <f t="shared" si="59"/>
        <v>-181820.1753821637</v>
      </c>
      <c r="J320" s="11">
        <f t="shared" si="59"/>
        <v>-189830.54678096218</v>
      </c>
      <c r="K320" s="11">
        <f t="shared" si="59"/>
        <v>-184957.52942999432</v>
      </c>
      <c r="L320" s="11">
        <f t="shared" si="59"/>
        <v>-184957.01391191047</v>
      </c>
      <c r="M320" s="11">
        <f t="shared" si="59"/>
        <v>-184957.13128643011</v>
      </c>
      <c r="N320" s="11">
        <f t="shared" si="59"/>
        <v>-192359.3498828848</v>
      </c>
      <c r="O320" s="11">
        <f t="shared" si="59"/>
        <v>-200173.21894118024</v>
      </c>
      <c r="P320" s="11">
        <f t="shared" si="59"/>
        <v>-215575.81972230779</v>
      </c>
      <c r="Q320" s="11">
        <f t="shared" si="59"/>
        <v>-217431.31671626488</v>
      </c>
      <c r="R320" s="11">
        <f t="shared" si="59"/>
        <v>-216337.12913934357</v>
      </c>
      <c r="S320" s="11">
        <f t="shared" si="59"/>
        <v>-218173.2406370354</v>
      </c>
    </row>
    <row r="321" spans="1:19">
      <c r="A321">
        <v>16</v>
      </c>
      <c r="B321" s="11">
        <f t="shared" si="58"/>
        <v>-169111.0413196577</v>
      </c>
      <c r="C321" s="11">
        <f t="shared" si="58"/>
        <v>-171172.81215628763</v>
      </c>
      <c r="D321" s="11">
        <f t="shared" si="58"/>
        <v>-171172.93377004578</v>
      </c>
      <c r="E321" s="11">
        <f t="shared" si="58"/>
        <v>-176543.8937270107</v>
      </c>
      <c r="F321" s="11">
        <f t="shared" si="58"/>
        <v>-176408.83262132623</v>
      </c>
      <c r="G321" s="11">
        <f t="shared" si="58"/>
        <v>-174089.99438933787</v>
      </c>
      <c r="H321" s="11">
        <f t="shared" si="58"/>
        <v>-174089.82206091826</v>
      </c>
      <c r="I321" s="11">
        <f t="shared" si="59"/>
        <v>-176524.44211860557</v>
      </c>
      <c r="J321" s="11">
        <f t="shared" si="59"/>
        <v>-184301.50172908953</v>
      </c>
      <c r="K321" s="11">
        <f t="shared" si="59"/>
        <v>-179570.4169223246</v>
      </c>
      <c r="L321" s="11">
        <f t="shared" si="59"/>
        <v>-179569.91641933058</v>
      </c>
      <c r="M321" s="11">
        <f t="shared" si="59"/>
        <v>-179570.03037517492</v>
      </c>
      <c r="N321" s="11">
        <f t="shared" si="59"/>
        <v>-186756.65037173286</v>
      </c>
      <c r="O321" s="11">
        <f t="shared" si="59"/>
        <v>-194342.93101085463</v>
      </c>
      <c r="P321" s="11">
        <f t="shared" si="59"/>
        <v>-209296.91235175516</v>
      </c>
      <c r="Q321" s="11">
        <f t="shared" si="59"/>
        <v>-211098.36574394652</v>
      </c>
      <c r="R321" s="11">
        <f t="shared" si="59"/>
        <v>-210036.04770810058</v>
      </c>
      <c r="S321" s="11">
        <f t="shared" si="59"/>
        <v>-211818.68023013149</v>
      </c>
    </row>
    <row r="322" spans="1:19">
      <c r="A322">
        <v>17</v>
      </c>
      <c r="B322" s="11">
        <f t="shared" si="58"/>
        <v>-164185.47700937639</v>
      </c>
      <c r="C322" s="11">
        <f t="shared" si="58"/>
        <v>-166187.1962682404</v>
      </c>
      <c r="D322" s="11">
        <f t="shared" si="58"/>
        <v>-166187.31433985027</v>
      </c>
      <c r="E322" s="11">
        <f t="shared" si="58"/>
        <v>-171401.83856991329</v>
      </c>
      <c r="F322" s="11">
        <f t="shared" si="58"/>
        <v>-171270.71128284099</v>
      </c>
      <c r="G322" s="11">
        <f t="shared" si="58"/>
        <v>-169019.41202848335</v>
      </c>
      <c r="H322" s="11">
        <f t="shared" si="58"/>
        <v>-169019.24471933811</v>
      </c>
      <c r="I322" s="11">
        <f t="shared" si="59"/>
        <v>-171382.9535132093</v>
      </c>
      <c r="J322" s="11">
        <f t="shared" si="59"/>
        <v>-178933.49682435876</v>
      </c>
      <c r="K322" s="11">
        <f t="shared" si="59"/>
        <v>-174340.21060419866</v>
      </c>
      <c r="L322" s="11">
        <f t="shared" si="59"/>
        <v>-174339.72467896173</v>
      </c>
      <c r="M322" s="11">
        <f t="shared" si="59"/>
        <v>-174339.83531570379</v>
      </c>
      <c r="N322" s="11">
        <f t="shared" si="59"/>
        <v>-181317.1362832358</v>
      </c>
      <c r="O322" s="11">
        <f t="shared" si="59"/>
        <v>-188682.45729209189</v>
      </c>
      <c r="P322" s="11">
        <f t="shared" si="59"/>
        <v>-203200.88577840306</v>
      </c>
      <c r="Q322" s="11">
        <f t="shared" si="59"/>
        <v>-204949.86965431701</v>
      </c>
      <c r="R322" s="11">
        <f t="shared" si="59"/>
        <v>-203918.49292048599</v>
      </c>
      <c r="S322" s="11">
        <f t="shared" si="59"/>
        <v>-205649.20410692377</v>
      </c>
    </row>
    <row r="323" spans="1:19">
      <c r="A323">
        <v>18</v>
      </c>
      <c r="B323" s="11">
        <f t="shared" si="58"/>
        <v>-159403.37573725864</v>
      </c>
      <c r="C323" s="11">
        <f t="shared" si="58"/>
        <v>-161346.7924934373</v>
      </c>
      <c r="D323" s="11">
        <f t="shared" si="58"/>
        <v>-161346.90712606822</v>
      </c>
      <c r="E323" s="11">
        <f t="shared" si="58"/>
        <v>-166409.55200962455</v>
      </c>
      <c r="F323" s="11">
        <f t="shared" si="58"/>
        <v>-166282.24396392331</v>
      </c>
      <c r="G323" s="11">
        <f t="shared" si="58"/>
        <v>-164096.5165325081</v>
      </c>
      <c r="H323" s="11">
        <f t="shared" si="58"/>
        <v>-164096.35409644476</v>
      </c>
      <c r="I323" s="11">
        <f t="shared" si="59"/>
        <v>-166391.21700311583</v>
      </c>
      <c r="J323" s="11">
        <f t="shared" si="59"/>
        <v>-173721.84157704734</v>
      </c>
      <c r="K323" s="11">
        <f t="shared" si="59"/>
        <v>-169262.34039242586</v>
      </c>
      <c r="L323" s="11">
        <f t="shared" si="59"/>
        <v>-169261.86862035119</v>
      </c>
      <c r="M323" s="11">
        <f t="shared" si="59"/>
        <v>-169261.97603466388</v>
      </c>
      <c r="N323" s="11">
        <f t="shared" si="59"/>
        <v>-176036.05464391824</v>
      </c>
      <c r="O323" s="11">
        <f t="shared" si="59"/>
        <v>-183186.85173989501</v>
      </c>
      <c r="P323" s="11">
        <f t="shared" si="59"/>
        <v>-197282.41337709036</v>
      </c>
      <c r="Q323" s="11">
        <f t="shared" si="59"/>
        <v>-198980.45597506507</v>
      </c>
      <c r="R323" s="11">
        <f t="shared" si="59"/>
        <v>-197979.11934027768</v>
      </c>
      <c r="S323" s="11">
        <f t="shared" si="59"/>
        <v>-199659.42146303281</v>
      </c>
    </row>
    <row r="324" spans="1:19">
      <c r="A324">
        <v>19</v>
      </c>
      <c r="B324" s="11">
        <f t="shared" si="58"/>
        <v>-154760.55896821228</v>
      </c>
      <c r="C324" s="11">
        <f t="shared" si="58"/>
        <v>-156647.37135285174</v>
      </c>
      <c r="D324" s="11">
        <f t="shared" si="58"/>
        <v>-156647.48264666818</v>
      </c>
      <c r="E324" s="11">
        <f t="shared" si="58"/>
        <v>-161562.67185400444</v>
      </c>
      <c r="F324" s="11">
        <f t="shared" si="58"/>
        <v>-161439.07180963428</v>
      </c>
      <c r="G324" s="11">
        <f t="shared" si="58"/>
        <v>-159317.0063422409</v>
      </c>
      <c r="H324" s="11">
        <f t="shared" si="58"/>
        <v>-159316.84863732502</v>
      </c>
      <c r="I324" s="11">
        <f t="shared" si="59"/>
        <v>-161544.87087681147</v>
      </c>
      <c r="J324" s="11">
        <f t="shared" si="59"/>
        <v>-168661.98211363819</v>
      </c>
      <c r="K324" s="11">
        <f t="shared" si="59"/>
        <v>-164332.36931303484</v>
      </c>
      <c r="L324" s="11">
        <f t="shared" si="59"/>
        <v>-164331.91128189437</v>
      </c>
      <c r="M324" s="11">
        <f t="shared" si="59"/>
        <v>-164332.01556763484</v>
      </c>
      <c r="N324" s="11">
        <f t="shared" si="59"/>
        <v>-170908.79091642547</v>
      </c>
      <c r="O324" s="11">
        <f t="shared" si="59"/>
        <v>-177851.31236883011</v>
      </c>
      <c r="P324" s="11">
        <f t="shared" si="59"/>
        <v>-191536.32366707802</v>
      </c>
      <c r="Q324" s="11">
        <f t="shared" si="59"/>
        <v>-193184.9087136554</v>
      </c>
      <c r="R324" s="11">
        <f t="shared" si="59"/>
        <v>-192212.73722357056</v>
      </c>
      <c r="S324" s="11">
        <f t="shared" si="59"/>
        <v>-193844.09850779883</v>
      </c>
    </row>
    <row r="325" spans="1:19">
      <c r="A325">
        <v>20</v>
      </c>
      <c r="B325" s="11">
        <f t="shared" si="58"/>
        <v>-150252.96987205074</v>
      </c>
      <c r="C325" s="11">
        <f t="shared" si="58"/>
        <v>-152084.82655616675</v>
      </c>
      <c r="D325" s="11">
        <f t="shared" si="58"/>
        <v>-152084.93460841573</v>
      </c>
      <c r="E325" s="11">
        <f t="shared" si="58"/>
        <v>-156856.96296505284</v>
      </c>
      <c r="F325" s="11">
        <f t="shared" si="58"/>
        <v>-156736.96292197503</v>
      </c>
      <c r="G325" s="11">
        <f t="shared" si="58"/>
        <v>-154676.70518664166</v>
      </c>
      <c r="H325" s="11">
        <f t="shared" si="58"/>
        <v>-154676.55207507283</v>
      </c>
      <c r="I325" s="11">
        <f t="shared" si="59"/>
        <v>-156839.68046292377</v>
      </c>
      <c r="J325" s="11">
        <f t="shared" si="59"/>
        <v>-163749.49719770701</v>
      </c>
      <c r="K325" s="11">
        <f t="shared" si="59"/>
        <v>-159545.98962430566</v>
      </c>
      <c r="L325" s="11">
        <f t="shared" si="59"/>
        <v>-159545.54493387803</v>
      </c>
      <c r="M325" s="11">
        <f t="shared" si="59"/>
        <v>-159545.64618216976</v>
      </c>
      <c r="N325" s="11">
        <f t="shared" si="59"/>
        <v>-165930.86496740338</v>
      </c>
      <c r="O325" s="11">
        <f t="shared" si="59"/>
        <v>-172671.17705711661</v>
      </c>
      <c r="P325" s="11">
        <f t="shared" si="59"/>
        <v>-185957.59579327964</v>
      </c>
      <c r="Q325" s="11">
        <f t="shared" si="59"/>
        <v>-187558.16379966543</v>
      </c>
      <c r="R325" s="11">
        <f t="shared" si="59"/>
        <v>-186614.30798404908</v>
      </c>
      <c r="S325" s="11">
        <f t="shared" si="59"/>
        <v>-188198.15389106685</v>
      </c>
    </row>
    <row r="327" spans="1:19">
      <c r="A327" t="s">
        <v>226</v>
      </c>
      <c r="B327" s="11">
        <f>SUM(B306:B325)</f>
        <v>-4045257.653308406</v>
      </c>
      <c r="C327" s="11">
        <f t="shared" ref="C327:O327" si="60">SUM(C306:C325)</f>
        <v>-4094576.6935742619</v>
      </c>
      <c r="D327" s="11">
        <f t="shared" si="60"/>
        <v>-4094579.6026627645</v>
      </c>
      <c r="E327" s="11">
        <f t="shared" si="60"/>
        <v>-4223056.8250959022</v>
      </c>
      <c r="F327" s="11">
        <f t="shared" si="60"/>
        <v>-4219826.0663756514</v>
      </c>
      <c r="G327" s="11">
        <f t="shared" si="60"/>
        <v>-4164357.789251131</v>
      </c>
      <c r="H327" s="11">
        <f t="shared" si="60"/>
        <v>-4164353.6670314763</v>
      </c>
      <c r="I327" s="11">
        <f t="shared" si="60"/>
        <v>-4222591.5286424253</v>
      </c>
      <c r="J327" s="11">
        <f t="shared" si="60"/>
        <v>-4408624.3841203777</v>
      </c>
      <c r="K327" s="11">
        <f t="shared" si="60"/>
        <v>-4295453.435176596</v>
      </c>
      <c r="L327" s="11">
        <f t="shared" si="60"/>
        <v>-4295441.4627852524</v>
      </c>
      <c r="M327" s="11">
        <f t="shared" si="60"/>
        <v>-4295444.188690952</v>
      </c>
      <c r="N327" s="11">
        <f t="shared" si="60"/>
        <v>-4467353.3042379552</v>
      </c>
      <c r="O327" s="11">
        <f t="shared" si="60"/>
        <v>-4648822.5896026213</v>
      </c>
      <c r="P327" s="11">
        <f>SUM(P306:P325)</f>
        <v>-5006532.5711310562</v>
      </c>
      <c r="Q327" s="11">
        <f>SUM(Q306:Q325)</f>
        <v>-5049624.6310283504</v>
      </c>
      <c r="R327" s="11">
        <f>SUM(R306:R325)</f>
        <v>-5024213.2200925592</v>
      </c>
      <c r="S327" s="11">
        <f>SUM(S306:S325)</f>
        <v>-5066855.0712485192</v>
      </c>
    </row>
    <row r="329" spans="1:19">
      <c r="A329" t="s">
        <v>227</v>
      </c>
      <c r="B329" s="11">
        <f t="shared" ref="B329:O329" si="61">B327+B302+B223+$B$220+$B$219+B277+B249+B250+B225</f>
        <v>-20853178.64897256</v>
      </c>
      <c r="C329" s="11">
        <f t="shared" si="61"/>
        <v>-21038962.577798136</v>
      </c>
      <c r="D329" s="11">
        <f t="shared" si="61"/>
        <v>-21199639.910757102</v>
      </c>
      <c r="E329" s="11">
        <f t="shared" si="61"/>
        <v>-19836372.877425615</v>
      </c>
      <c r="F329" s="11">
        <f t="shared" si="61"/>
        <v>-19969007.505450834</v>
      </c>
      <c r="G329" s="11">
        <f t="shared" si="61"/>
        <v>-21420800.423945643</v>
      </c>
      <c r="H329" s="11">
        <f t="shared" si="61"/>
        <v>-21448002.668059912</v>
      </c>
      <c r="I329" s="11">
        <f t="shared" si="61"/>
        <v>-21749456.556652106</v>
      </c>
      <c r="J329" s="11">
        <f t="shared" si="61"/>
        <v>-20986833.992354695</v>
      </c>
      <c r="K329" s="11">
        <f t="shared" si="61"/>
        <v>-22912518.554827381</v>
      </c>
      <c r="L329" s="11">
        <f t="shared" si="61"/>
        <v>-23037303.820516191</v>
      </c>
      <c r="M329" s="11">
        <f t="shared" si="61"/>
        <v>-23077480.324457515</v>
      </c>
      <c r="N329" s="11">
        <f t="shared" si="61"/>
        <v>-22233694.883480713</v>
      </c>
      <c r="O329" s="11">
        <f t="shared" si="61"/>
        <v>-21627984.41851183</v>
      </c>
      <c r="P329" s="11">
        <f>P327+P302+P223+$B$220+$B$219+P277+P249+P250+P225</f>
        <v>-18462848.585217223</v>
      </c>
      <c r="Q329" s="11">
        <f>Q327+Q302+Q223+$B$220+$B$219+Q277+Q249+Q250+Q225</f>
        <v>-19006898.227642406</v>
      </c>
      <c r="R329" s="11">
        <f>R327+R302+R223+$B$220+$B$219+R277+R249+R250+R225</f>
        <v>-19313715.203758013</v>
      </c>
      <c r="S329" s="11">
        <f>S327+S302+S223+$B$220+$B$219+S277+S249+S250+S225</f>
        <v>-20639403.817949291</v>
      </c>
    </row>
    <row r="330" spans="1:19">
      <c r="A330" t="s">
        <v>233</v>
      </c>
      <c r="B330" s="11">
        <f t="shared" ref="B330:O330" si="62">B329-$B$184</f>
        <v>-21162728841.438454</v>
      </c>
      <c r="C330" s="11">
        <f t="shared" si="62"/>
        <v>-21162914625.367279</v>
      </c>
      <c r="D330" s="11">
        <f t="shared" si="62"/>
        <v>-21163075302.700241</v>
      </c>
      <c r="E330" s="11">
        <f t="shared" si="62"/>
        <v>-21161712035.666908</v>
      </c>
      <c r="F330" s="11">
        <f t="shared" si="62"/>
        <v>-21161844670.294933</v>
      </c>
      <c r="G330" s="11">
        <f t="shared" si="62"/>
        <v>-21163296463.213428</v>
      </c>
      <c r="H330" s="11">
        <f t="shared" si="62"/>
        <v>-21163323665.457542</v>
      </c>
      <c r="I330" s="11">
        <f t="shared" si="62"/>
        <v>-21163625119.346134</v>
      </c>
      <c r="J330" s="11">
        <f t="shared" si="62"/>
        <v>-21162862496.781837</v>
      </c>
      <c r="K330" s="11">
        <f t="shared" si="62"/>
        <v>-21164788181.344311</v>
      </c>
      <c r="L330" s="11">
        <f t="shared" si="62"/>
        <v>-21164912966.609997</v>
      </c>
      <c r="M330" s="11">
        <f t="shared" si="62"/>
        <v>-21164953143.113941</v>
      </c>
      <c r="N330" s="11">
        <f t="shared" si="62"/>
        <v>-21164109357.672962</v>
      </c>
      <c r="O330" s="11">
        <f t="shared" si="62"/>
        <v>-21163503647.207993</v>
      </c>
      <c r="P330" s="11">
        <f>P329-$B$184</f>
        <v>-21160338511.374699</v>
      </c>
      <c r="Q330" s="11">
        <f>Q329-$B$184</f>
        <v>-21160882561.017124</v>
      </c>
      <c r="R330" s="11">
        <f>R329-$B$184</f>
        <v>-21161189377.99324</v>
      </c>
      <c r="S330" s="11">
        <f>S329-$B$184</f>
        <v>-21162515066.60743</v>
      </c>
    </row>
    <row r="331" spans="1:19">
      <c r="A331" t="s">
        <v>230</v>
      </c>
      <c r="B331" s="9">
        <f t="shared" ref="B331:O331" si="63">1-B244/$B$180</f>
        <v>0.1889846889972604</v>
      </c>
      <c r="C331" s="9">
        <f t="shared" si="63"/>
        <v>0.2168890223026636</v>
      </c>
      <c r="D331" s="9">
        <f t="shared" si="63"/>
        <v>0.21688889103972542</v>
      </c>
      <c r="E331" s="9">
        <f t="shared" si="63"/>
        <v>0.27888358838708849</v>
      </c>
      <c r="F331" s="9">
        <f t="shared" si="63"/>
        <v>0.27808781278343797</v>
      </c>
      <c r="G331" s="9">
        <f t="shared" si="63"/>
        <v>0.24716550838865792</v>
      </c>
      <c r="H331" s="9">
        <f t="shared" si="63"/>
        <v>0.24716569439010228</v>
      </c>
      <c r="I331" s="9">
        <f t="shared" si="63"/>
        <v>0.27090138420126864</v>
      </c>
      <c r="J331" s="9">
        <f t="shared" si="63"/>
        <v>0.35572100181361921</v>
      </c>
      <c r="K331" s="9">
        <f t="shared" si="63"/>
        <v>0.30009730610926844</v>
      </c>
      <c r="L331" s="9">
        <f t="shared" si="63"/>
        <v>0.30009784632358749</v>
      </c>
      <c r="M331" s="9">
        <f t="shared" si="63"/>
        <v>0.3000977233261638</v>
      </c>
      <c r="N331" s="9">
        <f t="shared" si="63"/>
        <v>0.37802220498376893</v>
      </c>
      <c r="O331" s="9">
        <f t="shared" si="63"/>
        <v>0.44421668171157802</v>
      </c>
      <c r="P331" s="9">
        <f>1-P244/$B$180</f>
        <v>0.57825388711583581</v>
      </c>
      <c r="Q331" s="9">
        <f>1-Q244/$B$180</f>
        <v>0.59561133452910897</v>
      </c>
      <c r="R331" s="9">
        <f>1-R244/$B$180</f>
        <v>0.58593008222680143</v>
      </c>
      <c r="S331" s="9">
        <f>1-S244/$B$180</f>
        <v>0.60189551455139223</v>
      </c>
    </row>
    <row r="333" spans="1:19">
      <c r="A333" t="s">
        <v>236</v>
      </c>
      <c r="B333" s="40" t="s">
        <v>161</v>
      </c>
    </row>
    <row r="334" spans="1:19">
      <c r="A334" s="10" t="s">
        <v>237</v>
      </c>
      <c r="B334" s="12">
        <f>B302+B277+B223+B250+B249-$B$182-$B$181</f>
        <v>1077750.0826017158</v>
      </c>
      <c r="C334" s="12">
        <f t="shared" ref="C334:S334" si="64">C302+C277+C223+C250+C249-$B$182-$B$181</f>
        <v>941285.19404199626</v>
      </c>
      <c r="D334" s="12">
        <f t="shared" si="64"/>
        <v>780610.77017152775</v>
      </c>
      <c r="E334" s="12">
        <f t="shared" si="64"/>
        <v>2272355.0259361574</v>
      </c>
      <c r="F334" s="12">
        <f t="shared" si="64"/>
        <v>2136489.6391906859</v>
      </c>
      <c r="G334" s="12">
        <f t="shared" si="64"/>
        <v>629228.44357135613</v>
      </c>
      <c r="H334" s="12">
        <f t="shared" si="64"/>
        <v>602022.07723743189</v>
      </c>
      <c r="I334" s="12">
        <f t="shared" si="64"/>
        <v>358806.05025618616</v>
      </c>
      <c r="J334" s="12">
        <f t="shared" si="64"/>
        <v>1307461.4700315511</v>
      </c>
      <c r="K334" s="12">
        <f t="shared" si="64"/>
        <v>-731394.04138491582</v>
      </c>
      <c r="L334" s="12">
        <f t="shared" si="64"/>
        <v>-856191.2794650672</v>
      </c>
      <c r="M334" s="12">
        <f t="shared" si="64"/>
        <v>-896365.05750069674</v>
      </c>
      <c r="N334" s="12">
        <f t="shared" si="64"/>
        <v>119329.49902311061</v>
      </c>
      <c r="O334" s="12">
        <f t="shared" si="64"/>
        <v>906509.24935666006</v>
      </c>
      <c r="P334" s="12">
        <f t="shared" si="64"/>
        <v>4429355.0641797027</v>
      </c>
      <c r="Q334" s="12">
        <f t="shared" si="64"/>
        <v>3928397.4816518119</v>
      </c>
      <c r="R334" s="12">
        <f t="shared" si="64"/>
        <v>3596169.0946004158</v>
      </c>
      <c r="S334" s="12">
        <f t="shared" si="64"/>
        <v>2313122.3315650942</v>
      </c>
    </row>
    <row r="335" spans="1:19">
      <c r="A335" s="10" t="s">
        <v>238</v>
      </c>
      <c r="B335" s="12">
        <f t="shared" ref="B335:S335" si="65">B327+B225+$B$220-$B$183</f>
        <v>1331860.0482482482</v>
      </c>
      <c r="C335" s="12">
        <f t="shared" si="65"/>
        <v>1282541.0079823919</v>
      </c>
      <c r="D335" s="12">
        <f t="shared" si="65"/>
        <v>1282538.0988938892</v>
      </c>
      <c r="E335" s="12">
        <f t="shared" si="65"/>
        <v>1154060.8764607515</v>
      </c>
      <c r="F335" s="12">
        <f t="shared" si="65"/>
        <v>1157291.6351810023</v>
      </c>
      <c r="G335" s="12">
        <f t="shared" si="65"/>
        <v>1212759.9123055227</v>
      </c>
      <c r="H335" s="12">
        <f t="shared" si="65"/>
        <v>1212764.0345251774</v>
      </c>
      <c r="I335" s="12">
        <f t="shared" si="65"/>
        <v>1154526.1729142284</v>
      </c>
      <c r="J335" s="12">
        <f t="shared" si="65"/>
        <v>968493.317436276</v>
      </c>
      <c r="K335" s="12">
        <f t="shared" si="65"/>
        <v>1081664.2663800577</v>
      </c>
      <c r="L335" s="12">
        <f t="shared" si="65"/>
        <v>1081676.2387714013</v>
      </c>
      <c r="M335" s="12">
        <f t="shared" si="65"/>
        <v>1081673.5128657017</v>
      </c>
      <c r="N335" s="12">
        <f t="shared" si="65"/>
        <v>909764.39731869847</v>
      </c>
      <c r="O335" s="12">
        <f t="shared" si="65"/>
        <v>728295.11195403244</v>
      </c>
      <c r="P335" s="12">
        <f t="shared" si="65"/>
        <v>370585.13042559754</v>
      </c>
      <c r="Q335" s="12">
        <f t="shared" si="65"/>
        <v>327493.07052830327</v>
      </c>
      <c r="R335" s="12">
        <f t="shared" si="65"/>
        <v>352904.48146409448</v>
      </c>
      <c r="S335" s="12">
        <f t="shared" si="65"/>
        <v>310262.63030813448</v>
      </c>
    </row>
    <row r="336" spans="1:19">
      <c r="A336" s="10" t="s">
        <v>239</v>
      </c>
      <c r="B336" s="12">
        <f>B334+B335</f>
        <v>2409610.130849964</v>
      </c>
      <c r="C336" s="12">
        <f t="shared" ref="C336:O336" si="66">C334+C335</f>
        <v>2223826.2020243881</v>
      </c>
      <c r="D336" s="12">
        <f t="shared" si="66"/>
        <v>2063148.869065417</v>
      </c>
      <c r="E336" s="12">
        <f t="shared" si="66"/>
        <v>3426415.902396909</v>
      </c>
      <c r="F336" s="12">
        <f t="shared" si="66"/>
        <v>3293781.2743716883</v>
      </c>
      <c r="G336" s="12">
        <f t="shared" si="66"/>
        <v>1841988.3558768788</v>
      </c>
      <c r="H336" s="12">
        <f t="shared" si="66"/>
        <v>1814786.1117626093</v>
      </c>
      <c r="I336" s="12">
        <f t="shared" si="66"/>
        <v>1513332.2231704146</v>
      </c>
      <c r="J336" s="12">
        <f t="shared" si="66"/>
        <v>2275954.7874678271</v>
      </c>
      <c r="K336" s="12">
        <f t="shared" si="66"/>
        <v>350270.22499514185</v>
      </c>
      <c r="L336" s="12">
        <f t="shared" si="66"/>
        <v>225484.95930633415</v>
      </c>
      <c r="M336" s="12">
        <f t="shared" si="66"/>
        <v>185308.45536500495</v>
      </c>
      <c r="N336" s="12">
        <f t="shared" si="66"/>
        <v>1029093.8963418091</v>
      </c>
      <c r="O336" s="12">
        <f t="shared" si="66"/>
        <v>1634804.3613106925</v>
      </c>
      <c r="P336" s="12">
        <f>P334+P335</f>
        <v>4799940.1946053002</v>
      </c>
      <c r="Q336" s="12">
        <f>Q334+Q335</f>
        <v>4255890.5521801151</v>
      </c>
      <c r="R336" s="12">
        <f>R334+R335</f>
        <v>3949073.5760645103</v>
      </c>
      <c r="S336" s="12">
        <f>S334+S335</f>
        <v>2623384.9618732287</v>
      </c>
    </row>
    <row r="337" spans="1:19">
      <c r="A337" s="10" t="s">
        <v>159</v>
      </c>
      <c r="B337" s="13">
        <f>-(B336-$B$219-$B$220)/($B$219+$B$220)</f>
        <v>2.7039644075700981</v>
      </c>
      <c r="C337" s="13">
        <f t="shared" ref="C337:S337" si="67">-(C336-$B$219-$B$220-C223-C225)/($B$219+$B$220+C223+C225)</f>
        <v>2.1322252272987074</v>
      </c>
      <c r="D337" s="13">
        <f t="shared" si="67"/>
        <v>2.0068462946136019</v>
      </c>
      <c r="E337" s="13">
        <f t="shared" si="67"/>
        <v>2.4493409458962772</v>
      </c>
      <c r="F337" s="13">
        <f t="shared" si="67"/>
        <v>2.34488358591401</v>
      </c>
      <c r="G337" s="13">
        <f t="shared" si="67"/>
        <v>1.7475238070447197</v>
      </c>
      <c r="H337" s="13">
        <f t="shared" si="67"/>
        <v>1.7119265154020979</v>
      </c>
      <c r="I337" s="13">
        <f t="shared" si="67"/>
        <v>1.5105502571821954</v>
      </c>
      <c r="J337" s="13">
        <f t="shared" si="67"/>
        <v>1.581472921967517</v>
      </c>
      <c r="K337" s="13">
        <f t="shared" si="67"/>
        <v>1.0883601469900459</v>
      </c>
      <c r="L337" s="13">
        <f t="shared" si="67"/>
        <v>1.0556873987108051</v>
      </c>
      <c r="M337" s="13">
        <f t="shared" si="67"/>
        <v>1.0453729214182133</v>
      </c>
      <c r="N337" s="13">
        <f t="shared" si="67"/>
        <v>1.2094157038195226</v>
      </c>
      <c r="O337" s="13">
        <f t="shared" si="67"/>
        <v>1.2911951230552878</v>
      </c>
      <c r="P337" s="13">
        <f t="shared" si="67"/>
        <v>1.7724247684941006</v>
      </c>
      <c r="Q337" s="13">
        <f t="shared" si="67"/>
        <v>1.6338716851310648</v>
      </c>
      <c r="R337" s="13">
        <f t="shared" si="67"/>
        <v>1.5808212800953076</v>
      </c>
      <c r="S337" s="13">
        <f t="shared" si="67"/>
        <v>1.3400757267585428</v>
      </c>
    </row>
    <row r="339" spans="1:19">
      <c r="A339" t="s">
        <v>202</v>
      </c>
    </row>
    <row r="340" spans="1:19">
      <c r="A340" s="10" t="s">
        <v>203</v>
      </c>
      <c r="B340" s="12"/>
      <c r="C340" s="12">
        <f t="shared" ref="C340:O340" si="68">C334-$B$334</f>
        <v>-136464.88855971955</v>
      </c>
      <c r="D340" s="12">
        <f t="shared" si="68"/>
        <v>-297139.31243018806</v>
      </c>
      <c r="E340" s="12">
        <f t="shared" si="68"/>
        <v>1194604.9433344416</v>
      </c>
      <c r="F340" s="12">
        <f t="shared" si="68"/>
        <v>1058739.5565889701</v>
      </c>
      <c r="G340" s="12">
        <f t="shared" si="68"/>
        <v>-448521.63903035969</v>
      </c>
      <c r="H340" s="12">
        <f t="shared" si="68"/>
        <v>-475728.00536428392</v>
      </c>
      <c r="I340" s="12">
        <f t="shared" si="68"/>
        <v>-718944.03234552965</v>
      </c>
      <c r="J340" s="12">
        <f t="shared" si="68"/>
        <v>229711.38742983527</v>
      </c>
      <c r="K340" s="12">
        <f t="shared" si="68"/>
        <v>-1809144.1239866316</v>
      </c>
      <c r="L340" s="12">
        <f t="shared" si="68"/>
        <v>-1933941.362066783</v>
      </c>
      <c r="M340" s="12">
        <f t="shared" si="68"/>
        <v>-1974115.1401024126</v>
      </c>
      <c r="N340" s="12">
        <f t="shared" si="68"/>
        <v>-958420.5835786052</v>
      </c>
      <c r="O340" s="12">
        <f t="shared" si="68"/>
        <v>-171240.83324505575</v>
      </c>
      <c r="P340" s="12">
        <f>P334-$B$334</f>
        <v>3351604.9815779869</v>
      </c>
      <c r="Q340" s="12">
        <f>Q334-$B$334</f>
        <v>2850647.399050096</v>
      </c>
      <c r="R340" s="12">
        <f>R334-$B$334</f>
        <v>2518419.0119987</v>
      </c>
      <c r="S340" s="12">
        <f>S334-$B$334</f>
        <v>1235372.2489633784</v>
      </c>
    </row>
    <row r="341" spans="1:19">
      <c r="A341" s="10" t="s">
        <v>204</v>
      </c>
      <c r="B341" s="12"/>
      <c r="C341" s="12">
        <f t="shared" ref="C341:O341" si="69">C335-$B$335</f>
        <v>-49319.040265856311</v>
      </c>
      <c r="D341" s="12">
        <f t="shared" si="69"/>
        <v>-49321.949354358949</v>
      </c>
      <c r="E341" s="12">
        <f t="shared" si="69"/>
        <v>-177799.17178749666</v>
      </c>
      <c r="F341" s="12">
        <f t="shared" si="69"/>
        <v>-174568.41306724586</v>
      </c>
      <c r="G341" s="12">
        <f t="shared" si="69"/>
        <v>-119100.13594272546</v>
      </c>
      <c r="H341" s="12">
        <f t="shared" si="69"/>
        <v>-119096.01372307073</v>
      </c>
      <c r="I341" s="12">
        <f t="shared" si="69"/>
        <v>-177333.87533401977</v>
      </c>
      <c r="J341" s="12">
        <f t="shared" si="69"/>
        <v>-363366.73081197217</v>
      </c>
      <c r="K341" s="12">
        <f t="shared" si="69"/>
        <v>-250195.7818681905</v>
      </c>
      <c r="L341" s="12">
        <f t="shared" si="69"/>
        <v>-250183.80947684683</v>
      </c>
      <c r="M341" s="12">
        <f t="shared" si="69"/>
        <v>-250186.53538254648</v>
      </c>
      <c r="N341" s="12">
        <f t="shared" si="69"/>
        <v>-422095.65092954971</v>
      </c>
      <c r="O341" s="12">
        <f t="shared" si="69"/>
        <v>-603564.93629421573</v>
      </c>
      <c r="P341" s="12">
        <f>P335-$B$335</f>
        <v>-961274.91782265063</v>
      </c>
      <c r="Q341" s="12">
        <f>Q335-$B$335</f>
        <v>-1004366.9777199449</v>
      </c>
      <c r="R341" s="12">
        <f>R335-$B$335</f>
        <v>-978955.56678415369</v>
      </c>
      <c r="S341" s="12">
        <f>S335-$B$335</f>
        <v>-1021597.4179401137</v>
      </c>
    </row>
    <row r="342" spans="1:19">
      <c r="A342" s="10" t="s">
        <v>205</v>
      </c>
      <c r="B342" s="12"/>
      <c r="C342" s="12">
        <f>C341+C340</f>
        <v>-185783.92882557586</v>
      </c>
      <c r="D342" s="12">
        <f t="shared" ref="D342:O342" si="70">D341+D340</f>
        <v>-346461.26178454701</v>
      </c>
      <c r="E342" s="12">
        <f t="shared" si="70"/>
        <v>1016805.771546945</v>
      </c>
      <c r="F342" s="12">
        <f t="shared" si="70"/>
        <v>884171.14352172427</v>
      </c>
      <c r="G342" s="12">
        <f t="shared" si="70"/>
        <v>-567621.77497308515</v>
      </c>
      <c r="H342" s="12">
        <f t="shared" si="70"/>
        <v>-594824.01908735465</v>
      </c>
      <c r="I342" s="12">
        <f t="shared" si="70"/>
        <v>-896277.90767954942</v>
      </c>
      <c r="J342" s="12">
        <f t="shared" si="70"/>
        <v>-133655.3433821369</v>
      </c>
      <c r="K342" s="12">
        <f t="shared" si="70"/>
        <v>-2059339.9058548221</v>
      </c>
      <c r="L342" s="12">
        <f t="shared" si="70"/>
        <v>-2184125.1715436298</v>
      </c>
      <c r="M342" s="12">
        <f t="shared" si="70"/>
        <v>-2224301.675484959</v>
      </c>
      <c r="N342" s="12">
        <f t="shared" si="70"/>
        <v>-1380516.2345081549</v>
      </c>
      <c r="O342" s="12">
        <f t="shared" si="70"/>
        <v>-774805.76953927148</v>
      </c>
      <c r="P342" s="12">
        <f>P341+P340</f>
        <v>2390330.0637553362</v>
      </c>
      <c r="Q342" s="12">
        <f>Q341+Q340</f>
        <v>1846280.4213301511</v>
      </c>
      <c r="R342" s="12">
        <f>R341+R340</f>
        <v>1539463.4452145463</v>
      </c>
      <c r="S342" s="12">
        <f>S341+S340</f>
        <v>213774.83102326468</v>
      </c>
    </row>
    <row r="343" spans="1:19">
      <c r="A343" s="10" t="s">
        <v>206</v>
      </c>
      <c r="B343" s="13"/>
      <c r="C343" s="13">
        <f t="shared" ref="C343:S343" si="71">-(C342-C225-C223)/(C225+C223)</f>
        <v>0.66221103849895302</v>
      </c>
      <c r="D343" s="13">
        <f t="shared" si="71"/>
        <v>0.45439171372512283</v>
      </c>
      <c r="E343" s="13">
        <f t="shared" si="71"/>
        <v>2.070321864786258</v>
      </c>
      <c r="F343" s="13">
        <f t="shared" si="71"/>
        <v>1.8542716362528737</v>
      </c>
      <c r="G343" s="13">
        <f t="shared" si="71"/>
        <v>0.45940783335896651</v>
      </c>
      <c r="H343" s="13">
        <f t="shared" si="71"/>
        <v>0.47592597437237477</v>
      </c>
      <c r="I343" s="13">
        <f t="shared" si="71"/>
        <v>0.42175618859383907</v>
      </c>
      <c r="J343" s="13">
        <f t="shared" si="71"/>
        <v>0.94653786264714523</v>
      </c>
      <c r="K343" s="13">
        <f t="shared" si="71"/>
        <v>0.1924157231941874</v>
      </c>
      <c r="L343" s="13">
        <f t="shared" si="71"/>
        <v>0.1711099918240494</v>
      </c>
      <c r="M343" s="13">
        <f t="shared" si="71"/>
        <v>0.16692821142885431</v>
      </c>
      <c r="N343" s="13">
        <f t="shared" si="71"/>
        <v>0.60556679014052717</v>
      </c>
      <c r="O343" s="13">
        <f t="shared" si="71"/>
        <v>0.81552243582398298</v>
      </c>
      <c r="P343" s="13">
        <f t="shared" si="71"/>
        <v>1.4979854299490283</v>
      </c>
      <c r="Q343" s="13">
        <f t="shared" si="71"/>
        <v>1.348354796477387</v>
      </c>
      <c r="R343" s="13">
        <f t="shared" si="71"/>
        <v>1.2858799341159788</v>
      </c>
      <c r="S343" s="13">
        <f t="shared" si="71"/>
        <v>1.0339325128608357</v>
      </c>
    </row>
    <row r="345" spans="1:19">
      <c r="B345" t="s">
        <v>8</v>
      </c>
    </row>
    <row r="346" spans="1:19">
      <c r="B346" t="s">
        <v>293</v>
      </c>
    </row>
  </sheetData>
  <conditionalFormatting sqref="B334:S334">
    <cfRule type="colorScale" priority="256">
      <colorScale>
        <cfvo type="min"/>
        <cfvo type="max"/>
        <color rgb="FFFCFCFF"/>
        <color rgb="FF63BE7B"/>
      </colorScale>
    </cfRule>
  </conditionalFormatting>
  <conditionalFormatting sqref="C336:S336">
    <cfRule type="colorScale" priority="258">
      <colorScale>
        <cfvo type="min"/>
        <cfvo type="max"/>
        <color rgb="FFFCFCFF"/>
        <color rgb="FF63BE7B"/>
      </colorScale>
    </cfRule>
  </conditionalFormatting>
  <conditionalFormatting sqref="C340:S340">
    <cfRule type="colorScale" priority="260">
      <colorScale>
        <cfvo type="min"/>
        <cfvo type="max"/>
        <color rgb="FFFCFCFF"/>
        <color rgb="FF63BE7B"/>
      </colorScale>
    </cfRule>
  </conditionalFormatting>
  <conditionalFormatting sqref="C341:S341">
    <cfRule type="colorScale" priority="262">
      <colorScale>
        <cfvo type="min"/>
        <cfvo type="max"/>
        <color rgb="FFFCFCFF"/>
        <color rgb="FF63BE7B"/>
      </colorScale>
    </cfRule>
  </conditionalFormatting>
  <conditionalFormatting sqref="C342:S342">
    <cfRule type="colorScale" priority="264">
      <colorScale>
        <cfvo type="min"/>
        <cfvo type="max"/>
        <color rgb="FFFCFCFF"/>
        <color rgb="FF63BE7B"/>
      </colorScale>
    </cfRule>
  </conditionalFormatting>
  <conditionalFormatting sqref="B335:S335">
    <cfRule type="colorScale" priority="266">
      <colorScale>
        <cfvo type="min"/>
        <cfvo type="max"/>
        <color rgb="FFFCFCFF"/>
        <color rgb="FF63BE7B"/>
      </colorScale>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W346"/>
  <sheetViews>
    <sheetView topLeftCell="F1" workbookViewId="0">
      <selection activeCell="B21" sqref="B21:P21"/>
    </sheetView>
  </sheetViews>
  <sheetFormatPr defaultRowHeight="15"/>
  <cols>
    <col min="1" max="1" width="44" customWidth="1"/>
    <col min="2" max="2" width="14.85546875" customWidth="1"/>
    <col min="3" max="15" width="13.42578125" customWidth="1"/>
    <col min="16" max="16" width="14.28515625" customWidth="1"/>
  </cols>
  <sheetData>
    <row r="2" spans="1:16">
      <c r="A2" s="14" t="s">
        <v>296</v>
      </c>
    </row>
    <row r="3" spans="1:16">
      <c r="A3" s="10" t="s">
        <v>7</v>
      </c>
      <c r="B3" t="str">
        <f t="shared" ref="B3:P3" si="0">B43</f>
        <v>No Generator</v>
      </c>
      <c r="C3" t="str">
        <f t="shared" si="0"/>
        <v>No Generator</v>
      </c>
      <c r="D3" t="str">
        <f t="shared" si="0"/>
        <v>SG 200</v>
      </c>
      <c r="E3" t="str">
        <f t="shared" si="0"/>
        <v>SG 300</v>
      </c>
      <c r="F3" t="str">
        <f t="shared" si="0"/>
        <v>SG 300</v>
      </c>
      <c r="G3" t="str">
        <f t="shared" si="0"/>
        <v>SG 500</v>
      </c>
      <c r="H3" t="str">
        <f t="shared" si="0"/>
        <v>SG 500</v>
      </c>
      <c r="I3" t="str">
        <f t="shared" si="0"/>
        <v>SG 500</v>
      </c>
      <c r="J3" t="str">
        <f t="shared" si="0"/>
        <v>SG 500</v>
      </c>
      <c r="K3" t="str">
        <f t="shared" si="0"/>
        <v>SG 100</v>
      </c>
      <c r="L3" t="str">
        <f t="shared" si="0"/>
        <v>SG 200</v>
      </c>
      <c r="M3" t="str">
        <f t="shared" si="0"/>
        <v>SG 200</v>
      </c>
      <c r="N3" t="str">
        <f t="shared" si="0"/>
        <v>SG 300</v>
      </c>
      <c r="O3" t="str">
        <f t="shared" si="0"/>
        <v>SG 500</v>
      </c>
      <c r="P3" t="str">
        <f t="shared" si="0"/>
        <v>SG 500</v>
      </c>
    </row>
    <row r="4" spans="1:16">
      <c r="A4" s="10" t="s">
        <v>9</v>
      </c>
      <c r="B4" t="str">
        <f t="shared" ref="B4:P4" si="1">B44</f>
        <v>No Generator</v>
      </c>
      <c r="C4" t="str">
        <f t="shared" si="1"/>
        <v>No Generator</v>
      </c>
      <c r="D4" t="str">
        <f t="shared" si="1"/>
        <v>No Generator</v>
      </c>
      <c r="E4" t="str">
        <f t="shared" si="1"/>
        <v>No Generator</v>
      </c>
      <c r="F4" t="str">
        <f t="shared" si="1"/>
        <v>No Generator</v>
      </c>
      <c r="G4" t="str">
        <f t="shared" si="1"/>
        <v>No Generator</v>
      </c>
      <c r="H4" t="str">
        <f t="shared" si="1"/>
        <v>No Generator</v>
      </c>
      <c r="I4" t="str">
        <f t="shared" si="1"/>
        <v>No Generator</v>
      </c>
      <c r="J4" t="str">
        <f t="shared" si="1"/>
        <v>No Generator</v>
      </c>
      <c r="K4" t="str">
        <f t="shared" si="1"/>
        <v>No Generator</v>
      </c>
      <c r="L4" t="str">
        <f t="shared" si="1"/>
        <v>No Generator</v>
      </c>
      <c r="M4" t="str">
        <f t="shared" si="1"/>
        <v>No Generator</v>
      </c>
      <c r="N4" t="str">
        <f t="shared" si="1"/>
        <v>No Generator</v>
      </c>
      <c r="O4" t="str">
        <f t="shared" si="1"/>
        <v>No Generator</v>
      </c>
      <c r="P4" t="str">
        <f t="shared" si="1"/>
        <v>No Generator</v>
      </c>
    </row>
    <row r="5" spans="1:16">
      <c r="A5" s="10" t="s">
        <v>10</v>
      </c>
      <c r="B5" t="str">
        <f t="shared" ref="B5:P5" si="2">B45</f>
        <v>No Generator</v>
      </c>
      <c r="C5" t="str">
        <f t="shared" si="2"/>
        <v>No Generator</v>
      </c>
      <c r="D5" t="str">
        <f t="shared" si="2"/>
        <v>No Generator</v>
      </c>
      <c r="E5" t="str">
        <f t="shared" si="2"/>
        <v>No Generator</v>
      </c>
      <c r="F5" t="str">
        <f t="shared" si="2"/>
        <v>WG 100</v>
      </c>
      <c r="G5" t="str">
        <f t="shared" si="2"/>
        <v>No Generator</v>
      </c>
      <c r="H5" t="str">
        <f t="shared" si="2"/>
        <v>No Generator</v>
      </c>
      <c r="I5" t="str">
        <f t="shared" si="2"/>
        <v>WG 100</v>
      </c>
      <c r="J5" t="str">
        <f t="shared" si="2"/>
        <v>WG 100</v>
      </c>
      <c r="K5" t="str">
        <f t="shared" si="2"/>
        <v>WG 500</v>
      </c>
      <c r="L5" t="str">
        <f t="shared" si="2"/>
        <v>WG 500</v>
      </c>
      <c r="M5" t="str">
        <f t="shared" si="2"/>
        <v>WG 500</v>
      </c>
      <c r="N5" t="str">
        <f t="shared" si="2"/>
        <v>WG 500</v>
      </c>
      <c r="O5" t="str">
        <f t="shared" si="2"/>
        <v>WG 500</v>
      </c>
      <c r="P5" t="str">
        <f t="shared" si="2"/>
        <v>WG 500</v>
      </c>
    </row>
    <row r="6" spans="1:16">
      <c r="A6" s="10" t="s">
        <v>11</v>
      </c>
      <c r="B6" t="str">
        <f t="shared" ref="B6:P6" si="3">B46</f>
        <v>No Battery</v>
      </c>
      <c r="C6" t="str">
        <f t="shared" si="3"/>
        <v>Bat 100/100</v>
      </c>
      <c r="D6" t="str">
        <f t="shared" si="3"/>
        <v>No Battery</v>
      </c>
      <c r="E6" t="str">
        <f t="shared" si="3"/>
        <v>No Battery</v>
      </c>
      <c r="F6" t="str">
        <f t="shared" si="3"/>
        <v>No Battery</v>
      </c>
      <c r="G6" t="str">
        <f t="shared" si="3"/>
        <v>No Battery</v>
      </c>
      <c r="H6" t="str">
        <f t="shared" si="3"/>
        <v>Bat 100/100</v>
      </c>
      <c r="I6" t="str">
        <f t="shared" si="3"/>
        <v>No Battery</v>
      </c>
      <c r="J6" t="str">
        <f t="shared" si="3"/>
        <v>Bat 100/100</v>
      </c>
      <c r="K6" t="str">
        <f t="shared" si="3"/>
        <v>No Battery</v>
      </c>
      <c r="L6" t="str">
        <f t="shared" si="3"/>
        <v>No Battery</v>
      </c>
      <c r="M6" t="str">
        <f t="shared" si="3"/>
        <v>Bat 50/50</v>
      </c>
      <c r="N6" t="str">
        <f t="shared" si="3"/>
        <v>No Battery</v>
      </c>
      <c r="O6" t="str">
        <f t="shared" si="3"/>
        <v>No Battery</v>
      </c>
      <c r="P6" t="str">
        <f t="shared" si="3"/>
        <v>Bat 100/100</v>
      </c>
    </row>
    <row r="7" spans="1:16">
      <c r="A7" s="10" t="s">
        <v>291</v>
      </c>
      <c r="B7" t="str">
        <f t="shared" ref="B7:P7" si="4">IF(B53&lt;0.3,$B$346,$B$345)</f>
        <v>No Generator</v>
      </c>
      <c r="C7" t="str">
        <f t="shared" si="4"/>
        <v>No Generator</v>
      </c>
      <c r="D7" t="str">
        <f t="shared" si="4"/>
        <v>No Generator</v>
      </c>
      <c r="E7" t="str">
        <f t="shared" si="4"/>
        <v>No Generator</v>
      </c>
      <c r="F7" t="str">
        <f t="shared" si="4"/>
        <v>No Generator</v>
      </c>
      <c r="G7" t="str">
        <f t="shared" si="4"/>
        <v>No Generator</v>
      </c>
      <c r="H7" t="str">
        <f t="shared" si="4"/>
        <v>No Generator</v>
      </c>
      <c r="I7" t="str">
        <f t="shared" si="4"/>
        <v>No Generator</v>
      </c>
      <c r="J7" t="str">
        <f t="shared" si="4"/>
        <v>No Generator</v>
      </c>
      <c r="K7" t="str">
        <f t="shared" si="4"/>
        <v>100kW  Diesel</v>
      </c>
      <c r="L7" t="str">
        <f t="shared" si="4"/>
        <v>100kW  Diesel</v>
      </c>
      <c r="M7" t="str">
        <f t="shared" si="4"/>
        <v>100kW  Diesel</v>
      </c>
      <c r="N7" t="str">
        <f t="shared" si="4"/>
        <v>100kW  Diesel</v>
      </c>
      <c r="O7" t="str">
        <f t="shared" si="4"/>
        <v>100kW  Diesel</v>
      </c>
      <c r="P7" t="str">
        <f t="shared" si="4"/>
        <v>100kW  Diesel</v>
      </c>
    </row>
    <row r="8" spans="1:16">
      <c r="A8" s="10" t="s">
        <v>288</v>
      </c>
      <c r="B8" s="48">
        <f>$C$220</f>
        <v>-3040717.2838828554</v>
      </c>
      <c r="C8" s="48">
        <f t="shared" ref="C8:P8" si="5">$C$220</f>
        <v>-3040717.2838828554</v>
      </c>
      <c r="D8" s="48">
        <f t="shared" si="5"/>
        <v>-3040717.2838828554</v>
      </c>
      <c r="E8" s="48">
        <f t="shared" si="5"/>
        <v>-3040717.2838828554</v>
      </c>
      <c r="F8" s="48">
        <f t="shared" si="5"/>
        <v>-3040717.2838828554</v>
      </c>
      <c r="G8" s="48">
        <f t="shared" si="5"/>
        <v>-3040717.2838828554</v>
      </c>
      <c r="H8" s="48">
        <f t="shared" si="5"/>
        <v>-3040717.2838828554</v>
      </c>
      <c r="I8" s="48">
        <f t="shared" si="5"/>
        <v>-3040717.2838828554</v>
      </c>
      <c r="J8" s="48">
        <f t="shared" si="5"/>
        <v>-3040717.2838828554</v>
      </c>
      <c r="K8" s="48">
        <f t="shared" si="5"/>
        <v>-3040717.2838828554</v>
      </c>
      <c r="L8" s="48">
        <f t="shared" si="5"/>
        <v>-3040717.2838828554</v>
      </c>
      <c r="M8" s="48">
        <f t="shared" si="5"/>
        <v>-3040717.2838828554</v>
      </c>
      <c r="N8" s="48">
        <f t="shared" si="5"/>
        <v>-3040717.2838828554</v>
      </c>
      <c r="O8" s="48">
        <f t="shared" si="5"/>
        <v>-3040717.2838828554</v>
      </c>
      <c r="P8" s="48">
        <f t="shared" si="5"/>
        <v>-3040717.2838828554</v>
      </c>
    </row>
    <row r="9" spans="1:16">
      <c r="A9" s="10" t="s">
        <v>287</v>
      </c>
      <c r="B9" s="48">
        <f t="shared" ref="B9:P9" si="6">B223</f>
        <v>0</v>
      </c>
      <c r="C9" s="48">
        <f t="shared" si="6"/>
        <v>-120000</v>
      </c>
      <c r="D9" s="48">
        <f t="shared" si="6"/>
        <v>-1050000</v>
      </c>
      <c r="E9" s="48">
        <f t="shared" si="6"/>
        <v>-1550000</v>
      </c>
      <c r="F9" s="48">
        <f t="shared" si="6"/>
        <v>-2500000</v>
      </c>
      <c r="G9" s="48">
        <f t="shared" si="6"/>
        <v>-2550000</v>
      </c>
      <c r="H9" s="48">
        <f t="shared" si="6"/>
        <v>-2670000</v>
      </c>
      <c r="I9" s="48">
        <f t="shared" si="6"/>
        <v>-3500000</v>
      </c>
      <c r="J9" s="48">
        <f t="shared" si="6"/>
        <v>-3620000</v>
      </c>
      <c r="K9" s="48">
        <f t="shared" si="6"/>
        <v>-4300000</v>
      </c>
      <c r="L9" s="48">
        <f t="shared" si="6"/>
        <v>-4800000</v>
      </c>
      <c r="M9" s="48">
        <f t="shared" si="6"/>
        <v>-4885000</v>
      </c>
      <c r="N9" s="48">
        <f t="shared" si="6"/>
        <v>-5300000</v>
      </c>
      <c r="O9" s="48">
        <f t="shared" si="6"/>
        <v>-6300000</v>
      </c>
      <c r="P9" s="48">
        <f t="shared" si="6"/>
        <v>-6420000</v>
      </c>
    </row>
    <row r="10" spans="1:16">
      <c r="A10" s="10" t="s">
        <v>292</v>
      </c>
      <c r="B10" s="48">
        <f t="shared" ref="B10:P10" si="7">B225</f>
        <v>0</v>
      </c>
      <c r="C10" s="48">
        <f t="shared" si="7"/>
        <v>0</v>
      </c>
      <c r="D10" s="48">
        <f t="shared" si="7"/>
        <v>-10264.689999999944</v>
      </c>
      <c r="E10" s="48">
        <f t="shared" si="7"/>
        <v>-11931.139999999898</v>
      </c>
      <c r="F10" s="48">
        <f t="shared" si="7"/>
        <v>-13397.229999999981</v>
      </c>
      <c r="G10" s="48">
        <f t="shared" si="7"/>
        <v>-18115.299999999814</v>
      </c>
      <c r="H10" s="48">
        <f t="shared" si="7"/>
        <v>-18115.299999999814</v>
      </c>
      <c r="I10" s="48">
        <f t="shared" si="7"/>
        <v>-20582.770000000019</v>
      </c>
      <c r="J10" s="48">
        <f t="shared" si="7"/>
        <v>-20583.649999999907</v>
      </c>
      <c r="K10" s="48">
        <f t="shared" si="7"/>
        <v>-33002.129999999888</v>
      </c>
      <c r="L10" s="48">
        <f t="shared" si="7"/>
        <v>-36791.599999999627</v>
      </c>
      <c r="M10" s="48">
        <f t="shared" si="7"/>
        <v>-36730.589999999851</v>
      </c>
      <c r="N10" s="48">
        <f t="shared" si="7"/>
        <v>-41346.509999999776</v>
      </c>
      <c r="O10" s="48">
        <f t="shared" si="7"/>
        <v>-50314.80999999959</v>
      </c>
      <c r="P10" s="48">
        <f t="shared" si="7"/>
        <v>-50234.30999999959</v>
      </c>
    </row>
    <row r="11" spans="1:16">
      <c r="A11" s="10" t="s">
        <v>294</v>
      </c>
      <c r="B11" s="48">
        <f t="shared" ref="B11:P11" si="8">B234</f>
        <v>0</v>
      </c>
      <c r="C11" s="48">
        <f t="shared" si="8"/>
        <v>0</v>
      </c>
      <c r="D11" s="48">
        <f t="shared" si="8"/>
        <v>0</v>
      </c>
      <c r="E11" s="48">
        <f t="shared" si="8"/>
        <v>0</v>
      </c>
      <c r="F11" s="48">
        <f t="shared" si="8"/>
        <v>0</v>
      </c>
      <c r="G11" s="48">
        <f t="shared" si="8"/>
        <v>0</v>
      </c>
      <c r="H11" s="48">
        <f t="shared" si="8"/>
        <v>0</v>
      </c>
      <c r="I11" s="48">
        <f t="shared" si="8"/>
        <v>0</v>
      </c>
      <c r="J11" s="48">
        <f t="shared" si="8"/>
        <v>0</v>
      </c>
      <c r="K11" s="48">
        <f t="shared" si="8"/>
        <v>-41158.26</v>
      </c>
      <c r="L11" s="48">
        <f t="shared" si="8"/>
        <v>-41158.26</v>
      </c>
      <c r="M11" s="48">
        <f t="shared" si="8"/>
        <v>-41158.26</v>
      </c>
      <c r="N11" s="48">
        <f t="shared" si="8"/>
        <v>-41158.26</v>
      </c>
      <c r="O11" s="48">
        <f t="shared" si="8"/>
        <v>-41158.26</v>
      </c>
      <c r="P11" s="48">
        <f t="shared" si="8"/>
        <v>-41158.26</v>
      </c>
    </row>
    <row r="12" spans="1:16">
      <c r="A12" s="10" t="s">
        <v>230</v>
      </c>
      <c r="B12" s="9">
        <f t="shared" ref="B12:P12" si="9">B331</f>
        <v>0.25741405476119872</v>
      </c>
      <c r="C12" s="9">
        <f t="shared" si="9"/>
        <v>0.25741395275184831</v>
      </c>
      <c r="D12" s="9">
        <f t="shared" si="9"/>
        <v>0.31687430439572817</v>
      </c>
      <c r="E12" s="9">
        <f t="shared" si="9"/>
        <v>0.34388493479433491</v>
      </c>
      <c r="F12" s="9">
        <f t="shared" si="9"/>
        <v>0.42874270694817951</v>
      </c>
      <c r="G12" s="9">
        <f t="shared" si="9"/>
        <v>0.38601953186715932</v>
      </c>
      <c r="H12" s="9">
        <f t="shared" si="9"/>
        <v>0.38649030828715514</v>
      </c>
      <c r="I12" s="9">
        <f t="shared" si="9"/>
        <v>0.4689651778767745</v>
      </c>
      <c r="J12" s="9">
        <f t="shared" si="9"/>
        <v>0.46893470638931589</v>
      </c>
      <c r="K12" s="9">
        <f t="shared" si="9"/>
        <v>0.68684840506609524</v>
      </c>
      <c r="L12" s="9">
        <f t="shared" si="9"/>
        <v>0.705915333750329</v>
      </c>
      <c r="M12" s="9">
        <f t="shared" si="9"/>
        <v>0.70383199234089688</v>
      </c>
      <c r="N12" s="9">
        <f t="shared" si="9"/>
        <v>0.7253837176638207</v>
      </c>
      <c r="O12" s="9">
        <f t="shared" si="9"/>
        <v>0.75381667326009971</v>
      </c>
      <c r="P12" s="9">
        <f t="shared" si="9"/>
        <v>0.75029139096882891</v>
      </c>
    </row>
    <row r="13" spans="1:16">
      <c r="A13" s="10" t="s">
        <v>237</v>
      </c>
      <c r="B13" s="11">
        <f t="shared" ref="B13:P13" si="10">B334</f>
        <v>1854284.5271657417</v>
      </c>
      <c r="C13" s="11">
        <f t="shared" si="10"/>
        <v>1733673.1148800114</v>
      </c>
      <c r="D13" s="11">
        <f t="shared" si="10"/>
        <v>1473672.9087897753</v>
      </c>
      <c r="E13" s="11">
        <f t="shared" si="10"/>
        <v>1122096.0586646581</v>
      </c>
      <c r="F13" s="11">
        <f t="shared" si="10"/>
        <v>2131643.1934375511</v>
      </c>
      <c r="G13" s="11">
        <f t="shared" si="10"/>
        <v>64.184221251867712</v>
      </c>
      <c r="H13" s="11">
        <f t="shared" si="10"/>
        <v>-125052.13676970545</v>
      </c>
      <c r="I13" s="11">
        <f t="shared" si="10"/>
        <v>857711.12699861173</v>
      </c>
      <c r="J13" s="11">
        <f t="shared" si="10"/>
        <v>753506.79199060146</v>
      </c>
      <c r="K13" s="11">
        <f t="shared" si="10"/>
        <v>5718748.8034566389</v>
      </c>
      <c r="L13" s="11">
        <f t="shared" si="10"/>
        <v>5067367.2644083584</v>
      </c>
      <c r="M13" s="11">
        <f t="shared" si="10"/>
        <v>4941818.8672949141</v>
      </c>
      <c r="N13" s="11">
        <f t="shared" si="10"/>
        <v>4373930.4319668291</v>
      </c>
      <c r="O13" s="11">
        <f t="shared" si="10"/>
        <v>2770880.2229370112</v>
      </c>
      <c r="P13" s="11">
        <f t="shared" si="10"/>
        <v>2581060.9440006102</v>
      </c>
    </row>
    <row r="14" spans="1:16">
      <c r="A14" s="10" t="s">
        <v>238</v>
      </c>
      <c r="B14" s="11">
        <f t="shared" ref="B14:P14" si="11">B335</f>
        <v>532501.45343950763</v>
      </c>
      <c r="C14" s="11">
        <f t="shared" si="11"/>
        <v>532499.19267776981</v>
      </c>
      <c r="D14" s="11">
        <f t="shared" si="11"/>
        <v>421058.25542951748</v>
      </c>
      <c r="E14" s="11">
        <f t="shared" si="11"/>
        <v>454601.13249838725</v>
      </c>
      <c r="F14" s="11">
        <f t="shared" si="11"/>
        <v>351415.68218396045</v>
      </c>
      <c r="G14" s="11">
        <f t="shared" si="11"/>
        <v>714473.29475210886</v>
      </c>
      <c r="H14" s="11">
        <f t="shared" si="11"/>
        <v>714473.29475210886</v>
      </c>
      <c r="I14" s="11">
        <f t="shared" si="11"/>
        <v>672244.2313286541</v>
      </c>
      <c r="J14" s="11">
        <f t="shared" si="11"/>
        <v>671568.03310821578</v>
      </c>
      <c r="K14" s="11">
        <f t="shared" si="11"/>
        <v>835282.54971279949</v>
      </c>
      <c r="L14" s="11">
        <f t="shared" si="11"/>
        <v>1003656.3485771371</v>
      </c>
      <c r="M14" s="11">
        <f t="shared" si="11"/>
        <v>1009713.1622918118</v>
      </c>
      <c r="N14" s="11">
        <f t="shared" si="11"/>
        <v>1221895.8297260441</v>
      </c>
      <c r="O14" s="11">
        <f t="shared" si="11"/>
        <v>1676131.3916123398</v>
      </c>
      <c r="P14" s="11">
        <f t="shared" si="11"/>
        <v>1681551.4337053895</v>
      </c>
    </row>
    <row r="15" spans="1:16">
      <c r="A15" s="10" t="s">
        <v>239</v>
      </c>
      <c r="B15" s="11">
        <f t="shared" ref="B15:P15" si="12">B336</f>
        <v>2386785.9806052493</v>
      </c>
      <c r="C15" s="11">
        <f t="shared" si="12"/>
        <v>2266172.3075577812</v>
      </c>
      <c r="D15" s="11">
        <f t="shared" si="12"/>
        <v>1894731.1642192928</v>
      </c>
      <c r="E15" s="11">
        <f t="shared" si="12"/>
        <v>1576697.1911630454</v>
      </c>
      <c r="F15" s="11">
        <f t="shared" si="12"/>
        <v>2483058.8756215116</v>
      </c>
      <c r="G15" s="11">
        <f t="shared" si="12"/>
        <v>714537.47897336073</v>
      </c>
      <c r="H15" s="11">
        <f t="shared" si="12"/>
        <v>589421.15798240341</v>
      </c>
      <c r="I15" s="11">
        <f t="shared" si="12"/>
        <v>1529955.3583272658</v>
      </c>
      <c r="J15" s="11">
        <f t="shared" si="12"/>
        <v>1425074.8250988172</v>
      </c>
      <c r="K15" s="11">
        <f t="shared" si="12"/>
        <v>6554031.3531694384</v>
      </c>
      <c r="L15" s="11">
        <f t="shared" si="12"/>
        <v>6071023.6129854955</v>
      </c>
      <c r="M15" s="11">
        <f t="shared" si="12"/>
        <v>5951532.0295867259</v>
      </c>
      <c r="N15" s="11">
        <f t="shared" si="12"/>
        <v>5595826.2616928732</v>
      </c>
      <c r="O15" s="11">
        <f t="shared" si="12"/>
        <v>4447011.6145493509</v>
      </c>
      <c r="P15" s="11">
        <f t="shared" si="12"/>
        <v>4262612.3777059997</v>
      </c>
    </row>
    <row r="16" spans="1:16">
      <c r="A16" s="10" t="s">
        <v>159</v>
      </c>
      <c r="B16" s="9">
        <f t="shared" ref="B16:P16" si="13">B337</f>
        <v>1.784941761358831</v>
      </c>
      <c r="C16" s="9">
        <f t="shared" si="13"/>
        <v>1.7169803889495141</v>
      </c>
      <c r="D16" s="9">
        <f t="shared" si="13"/>
        <v>1.4620188960317082</v>
      </c>
      <c r="E16" s="9">
        <f t="shared" si="13"/>
        <v>1.3425630302287834</v>
      </c>
      <c r="F16" s="9">
        <f t="shared" si="13"/>
        <v>1.4470665610899724</v>
      </c>
      <c r="G16" s="9">
        <f t="shared" si="13"/>
        <v>1.1273950449201506</v>
      </c>
      <c r="H16" s="9">
        <f t="shared" si="13"/>
        <v>1.1028867835378267</v>
      </c>
      <c r="I16" s="9">
        <f t="shared" si="13"/>
        <v>1.2331786910769105</v>
      </c>
      <c r="J16" s="9">
        <f t="shared" si="13"/>
        <v>1.213293015716721</v>
      </c>
      <c r="K16" s="9">
        <f>K337</f>
        <v>1.8888365538875602</v>
      </c>
      <c r="L16" s="9">
        <f t="shared" si="13"/>
        <v>1.7706781042680417</v>
      </c>
      <c r="M16" s="9">
        <f t="shared" si="13"/>
        <v>1.7474500459975364</v>
      </c>
      <c r="N16" s="9">
        <f t="shared" si="13"/>
        <v>1.6675952843232535</v>
      </c>
      <c r="O16" s="9">
        <f t="shared" si="13"/>
        <v>1.4735381127539806</v>
      </c>
      <c r="P16" s="9">
        <f t="shared" si="13"/>
        <v>1.4481793788591646</v>
      </c>
    </row>
    <row r="18" spans="1:17">
      <c r="A18" s="52" t="s">
        <v>310</v>
      </c>
      <c r="B18" s="53">
        <f t="shared" ref="B18:P18" si="14">-SUM(B8:B11)</f>
        <v>3040717.2838828554</v>
      </c>
      <c r="C18" s="53">
        <f t="shared" si="14"/>
        <v>3160717.2838828554</v>
      </c>
      <c r="D18" s="53">
        <f t="shared" si="14"/>
        <v>4100981.9738828554</v>
      </c>
      <c r="E18" s="53">
        <f t="shared" si="14"/>
        <v>4602648.4238828551</v>
      </c>
      <c r="F18" s="53">
        <f t="shared" si="14"/>
        <v>5554114.513882855</v>
      </c>
      <c r="G18" s="53">
        <f t="shared" si="14"/>
        <v>5608832.5838828553</v>
      </c>
      <c r="H18" s="53">
        <f t="shared" si="14"/>
        <v>5728832.5838828553</v>
      </c>
      <c r="I18" s="53">
        <f t="shared" si="14"/>
        <v>6561300.0538828559</v>
      </c>
      <c r="J18" s="53">
        <f t="shared" si="14"/>
        <v>6681300.9338828549</v>
      </c>
      <c r="K18" s="53">
        <f>-SUM(K8:K11)</f>
        <v>7414877.6738828551</v>
      </c>
      <c r="L18" s="53">
        <f t="shared" si="14"/>
        <v>7918667.1438828548</v>
      </c>
      <c r="M18" s="53">
        <f t="shared" si="14"/>
        <v>8003606.1338828551</v>
      </c>
      <c r="N18" s="53">
        <f t="shared" si="14"/>
        <v>8423222.0538828559</v>
      </c>
      <c r="O18" s="53">
        <f t="shared" si="14"/>
        <v>9432190.3538828548</v>
      </c>
      <c r="P18" s="53">
        <f t="shared" si="14"/>
        <v>9552109.8538828548</v>
      </c>
      <c r="Q18" s="11"/>
    </row>
    <row r="20" spans="1:17">
      <c r="A20" s="14" t="s">
        <v>295</v>
      </c>
    </row>
    <row r="21" spans="1:17" s="14" customFormat="1">
      <c r="A21" s="38" t="s">
        <v>207</v>
      </c>
      <c r="B21" s="14">
        <v>1</v>
      </c>
      <c r="C21" s="14">
        <v>2</v>
      </c>
      <c r="D21" s="14">
        <v>3</v>
      </c>
      <c r="E21" s="14">
        <v>4</v>
      </c>
      <c r="F21" s="14">
        <v>5</v>
      </c>
      <c r="G21" s="14">
        <v>6</v>
      </c>
      <c r="H21" s="14">
        <v>7</v>
      </c>
      <c r="I21" s="14">
        <v>8</v>
      </c>
      <c r="J21" s="14">
        <v>9</v>
      </c>
      <c r="K21" s="14">
        <v>10</v>
      </c>
      <c r="L21" s="14">
        <v>11</v>
      </c>
      <c r="M21" s="14">
        <v>12</v>
      </c>
      <c r="N21" s="14">
        <v>13</v>
      </c>
      <c r="O21" s="14">
        <v>14</v>
      </c>
      <c r="P21" s="14">
        <v>15</v>
      </c>
    </row>
    <row r="22" spans="1:17">
      <c r="A22" t="s">
        <v>63</v>
      </c>
      <c r="B22" s="9" t="s">
        <v>212</v>
      </c>
      <c r="C22" s="9" t="s">
        <v>212</v>
      </c>
      <c r="D22" s="9" t="s">
        <v>212</v>
      </c>
      <c r="E22" s="9" t="s">
        <v>212</v>
      </c>
      <c r="F22" s="9" t="s">
        <v>212</v>
      </c>
      <c r="G22" s="9" t="s">
        <v>212</v>
      </c>
      <c r="H22" s="9" t="s">
        <v>212</v>
      </c>
      <c r="I22" s="9" t="s">
        <v>212</v>
      </c>
      <c r="J22" s="9" t="s">
        <v>212</v>
      </c>
      <c r="K22" s="9" t="s">
        <v>212</v>
      </c>
      <c r="L22" s="9" t="s">
        <v>212</v>
      </c>
      <c r="M22" s="9" t="s">
        <v>212</v>
      </c>
      <c r="N22" s="9" t="s">
        <v>212</v>
      </c>
      <c r="O22" s="9" t="s">
        <v>212</v>
      </c>
      <c r="P22" s="9" t="s">
        <v>212</v>
      </c>
    </row>
    <row r="23" spans="1:17">
      <c r="A23" t="s">
        <v>104</v>
      </c>
      <c r="B23" s="7"/>
      <c r="C23" s="7"/>
      <c r="D23" s="7"/>
      <c r="E23" s="7"/>
      <c r="F23" s="7"/>
      <c r="G23" s="7"/>
      <c r="H23" s="7"/>
      <c r="I23" s="7"/>
      <c r="J23" s="7"/>
      <c r="K23" s="7"/>
      <c r="L23" s="7"/>
      <c r="M23" s="7"/>
      <c r="N23" s="7"/>
      <c r="O23" s="7"/>
      <c r="P23" s="7"/>
    </row>
    <row r="24" spans="1:17">
      <c r="A24" t="s">
        <v>105</v>
      </c>
    </row>
    <row r="25" spans="1:17">
      <c r="A25" t="s">
        <v>106</v>
      </c>
      <c r="B25" t="s">
        <v>107</v>
      </c>
      <c r="C25" t="s">
        <v>107</v>
      </c>
      <c r="D25" t="s">
        <v>107</v>
      </c>
      <c r="E25" t="s">
        <v>107</v>
      </c>
      <c r="F25" t="s">
        <v>107</v>
      </c>
      <c r="G25" t="s">
        <v>107</v>
      </c>
      <c r="H25" t="s">
        <v>107</v>
      </c>
      <c r="I25" t="s">
        <v>107</v>
      </c>
      <c r="J25" t="s">
        <v>107</v>
      </c>
      <c r="K25" t="s">
        <v>107</v>
      </c>
      <c r="L25" t="s">
        <v>107</v>
      </c>
      <c r="M25" t="s">
        <v>107</v>
      </c>
      <c r="N25" t="s">
        <v>107</v>
      </c>
      <c r="O25" t="s">
        <v>107</v>
      </c>
      <c r="P25" t="s">
        <v>107</v>
      </c>
    </row>
    <row r="26" spans="1:17">
      <c r="A26" t="s">
        <v>108</v>
      </c>
    </row>
    <row r="27" spans="1:17">
      <c r="A27" t="s">
        <v>51</v>
      </c>
      <c r="B27" t="s">
        <v>212</v>
      </c>
      <c r="C27" t="s">
        <v>212</v>
      </c>
      <c r="D27" t="s">
        <v>212</v>
      </c>
      <c r="E27" t="s">
        <v>212</v>
      </c>
      <c r="F27" t="s">
        <v>212</v>
      </c>
      <c r="G27" t="s">
        <v>212</v>
      </c>
      <c r="H27" t="s">
        <v>212</v>
      </c>
      <c r="I27" t="s">
        <v>212</v>
      </c>
      <c r="J27" t="s">
        <v>212</v>
      </c>
      <c r="K27" t="s">
        <v>212</v>
      </c>
      <c r="L27" t="s">
        <v>212</v>
      </c>
      <c r="M27" t="s">
        <v>212</v>
      </c>
      <c r="N27" t="s">
        <v>212</v>
      </c>
      <c r="O27" t="s">
        <v>212</v>
      </c>
      <c r="P27" t="s">
        <v>212</v>
      </c>
    </row>
    <row r="28" spans="1:17">
      <c r="A28" t="s">
        <v>55</v>
      </c>
      <c r="B28" t="s">
        <v>212</v>
      </c>
      <c r="C28" t="s">
        <v>212</v>
      </c>
      <c r="D28" t="s">
        <v>212</v>
      </c>
      <c r="E28" t="s">
        <v>212</v>
      </c>
      <c r="F28" t="s">
        <v>212</v>
      </c>
      <c r="G28" t="s">
        <v>212</v>
      </c>
      <c r="H28" t="s">
        <v>212</v>
      </c>
      <c r="I28" t="s">
        <v>212</v>
      </c>
      <c r="J28" t="s">
        <v>212</v>
      </c>
      <c r="K28" t="s">
        <v>212</v>
      </c>
      <c r="L28" t="s">
        <v>212</v>
      </c>
      <c r="M28" t="s">
        <v>212</v>
      </c>
      <c r="N28" t="s">
        <v>212</v>
      </c>
      <c r="O28" t="s">
        <v>212</v>
      </c>
      <c r="P28" t="s">
        <v>212</v>
      </c>
    </row>
    <row r="29" spans="1:17">
      <c r="A29" t="s">
        <v>53</v>
      </c>
      <c r="B29" t="s">
        <v>212</v>
      </c>
      <c r="C29" t="s">
        <v>212</v>
      </c>
      <c r="D29" t="s">
        <v>212</v>
      </c>
      <c r="E29" t="s">
        <v>212</v>
      </c>
      <c r="F29" t="s">
        <v>212</v>
      </c>
      <c r="G29" t="s">
        <v>212</v>
      </c>
      <c r="H29" t="s">
        <v>212</v>
      </c>
      <c r="I29" t="s">
        <v>212</v>
      </c>
      <c r="J29" t="s">
        <v>212</v>
      </c>
      <c r="K29" t="s">
        <v>212</v>
      </c>
      <c r="L29" t="s">
        <v>212</v>
      </c>
      <c r="M29" t="s">
        <v>212</v>
      </c>
      <c r="N29" t="s">
        <v>212</v>
      </c>
      <c r="O29" t="s">
        <v>212</v>
      </c>
      <c r="P29" t="s">
        <v>212</v>
      </c>
    </row>
    <row r="30" spans="1:17">
      <c r="A30" t="s">
        <v>65</v>
      </c>
      <c r="B30" t="s">
        <v>212</v>
      </c>
      <c r="C30" t="s">
        <v>212</v>
      </c>
      <c r="D30" t="s">
        <v>212</v>
      </c>
      <c r="E30" t="s">
        <v>212</v>
      </c>
      <c r="F30" t="s">
        <v>212</v>
      </c>
      <c r="G30" t="s">
        <v>212</v>
      </c>
      <c r="H30" t="s">
        <v>212</v>
      </c>
      <c r="I30" t="s">
        <v>212</v>
      </c>
      <c r="J30" t="s">
        <v>212</v>
      </c>
      <c r="K30" t="s">
        <v>212</v>
      </c>
      <c r="L30" t="s">
        <v>212</v>
      </c>
      <c r="M30" t="s">
        <v>212</v>
      </c>
      <c r="N30" t="s">
        <v>212</v>
      </c>
      <c r="O30" t="s">
        <v>212</v>
      </c>
      <c r="P30" t="s">
        <v>212</v>
      </c>
    </row>
    <row r="31" spans="1:17">
      <c r="A31" t="s">
        <v>66</v>
      </c>
    </row>
    <row r="32" spans="1:17">
      <c r="A32" t="s">
        <v>30</v>
      </c>
      <c r="B32" s="8"/>
      <c r="C32" s="8"/>
      <c r="D32" s="6"/>
      <c r="E32" s="6"/>
      <c r="F32" s="6"/>
      <c r="G32" s="6"/>
      <c r="H32" s="6"/>
      <c r="I32" s="6"/>
      <c r="J32" s="6"/>
      <c r="K32" s="6"/>
      <c r="L32" s="6"/>
      <c r="M32" s="6"/>
      <c r="N32" s="6"/>
      <c r="O32" s="6"/>
      <c r="P32" s="6"/>
    </row>
    <row r="33" spans="1:16">
      <c r="A33" t="s">
        <v>67</v>
      </c>
      <c r="B33" s="9">
        <v>0.29665107000000002</v>
      </c>
      <c r="C33" s="9">
        <v>0.29665038999999999</v>
      </c>
      <c r="D33" s="9">
        <v>0.27240578999999998</v>
      </c>
      <c r="E33" s="9">
        <v>0.26093003999999997</v>
      </c>
      <c r="F33" s="9">
        <v>0.22296757</v>
      </c>
      <c r="G33" s="9">
        <v>0.24677734000000001</v>
      </c>
      <c r="H33" s="9">
        <v>0.24677737999999999</v>
      </c>
      <c r="I33" s="9">
        <v>0.21048718999999999</v>
      </c>
      <c r="J33" s="9">
        <v>0.21033539000000001</v>
      </c>
      <c r="K33" s="9">
        <v>0.10670466000000001</v>
      </c>
      <c r="L33" s="9">
        <v>9.9950280000000002E-2</v>
      </c>
      <c r="M33" s="9">
        <v>0.10190004</v>
      </c>
      <c r="N33" s="9">
        <v>9.5161090000000004E-2</v>
      </c>
      <c r="O33" s="9">
        <v>9.0884320000000005E-2</v>
      </c>
      <c r="P33" s="9">
        <v>9.2917100000000002E-2</v>
      </c>
    </row>
    <row r="34" spans="1:16">
      <c r="A34" t="s">
        <v>68</v>
      </c>
      <c r="B34" s="7">
        <v>1</v>
      </c>
      <c r="C34" s="7">
        <v>1</v>
      </c>
      <c r="D34" s="7">
        <v>1</v>
      </c>
      <c r="E34" s="7">
        <v>1</v>
      </c>
      <c r="F34" s="7">
        <v>1</v>
      </c>
      <c r="G34" s="7">
        <v>1</v>
      </c>
      <c r="H34" s="7">
        <v>1</v>
      </c>
      <c r="I34" s="7">
        <v>1</v>
      </c>
      <c r="J34" s="7">
        <v>1</v>
      </c>
      <c r="K34" s="7">
        <v>1</v>
      </c>
      <c r="L34" s="7">
        <v>1</v>
      </c>
      <c r="M34" s="7">
        <v>1</v>
      </c>
      <c r="N34" s="7">
        <v>1</v>
      </c>
      <c r="O34" s="7">
        <v>1</v>
      </c>
      <c r="P34">
        <v>1</v>
      </c>
    </row>
    <row r="35" spans="1:16">
      <c r="A35" t="s">
        <v>69</v>
      </c>
      <c r="B35">
        <v>11474756</v>
      </c>
      <c r="C35">
        <v>11474729</v>
      </c>
      <c r="D35">
        <v>10536924</v>
      </c>
      <c r="E35" s="5">
        <v>10093031</v>
      </c>
      <c r="F35" s="5">
        <v>8624605</v>
      </c>
      <c r="G35" s="5">
        <v>9545591</v>
      </c>
      <c r="H35" s="5">
        <v>9545592</v>
      </c>
      <c r="I35" s="5">
        <v>8141852</v>
      </c>
      <c r="J35" s="5">
        <v>8135980</v>
      </c>
      <c r="K35" s="5">
        <v>4127441</v>
      </c>
      <c r="L35">
        <v>3866175</v>
      </c>
      <c r="M35">
        <v>3941593</v>
      </c>
      <c r="N35">
        <v>3680924</v>
      </c>
      <c r="O35">
        <v>3515495</v>
      </c>
      <c r="P35">
        <v>3594124</v>
      </c>
    </row>
    <row r="36" spans="1:16">
      <c r="A36" t="s">
        <v>71</v>
      </c>
      <c r="B36" s="9">
        <v>27206230</v>
      </c>
      <c r="C36" s="9">
        <v>27206256</v>
      </c>
      <c r="D36" s="5">
        <v>28144061</v>
      </c>
      <c r="E36" s="5">
        <v>28587955</v>
      </c>
      <c r="F36" s="5">
        <v>30056381</v>
      </c>
      <c r="G36" s="5">
        <v>29135395</v>
      </c>
      <c r="H36" s="5">
        <v>29135394</v>
      </c>
      <c r="I36" s="5">
        <v>30539134</v>
      </c>
      <c r="J36" s="5">
        <v>30545006</v>
      </c>
      <c r="K36" s="5">
        <v>34553545</v>
      </c>
      <c r="L36" s="5">
        <v>34814811</v>
      </c>
      <c r="M36" s="5">
        <v>34739392</v>
      </c>
      <c r="N36" s="5">
        <v>35000061</v>
      </c>
      <c r="O36" s="5">
        <v>35165491</v>
      </c>
      <c r="P36" s="5">
        <v>35086861</v>
      </c>
    </row>
    <row r="37" spans="1:16">
      <c r="A37" t="s">
        <v>72</v>
      </c>
      <c r="B37" s="9"/>
      <c r="C37" s="9"/>
      <c r="D37" s="9"/>
      <c r="E37" s="9"/>
      <c r="F37" s="9"/>
      <c r="G37" s="9"/>
      <c r="H37" s="9"/>
      <c r="I37" s="9"/>
      <c r="J37" s="9"/>
      <c r="K37" s="9"/>
      <c r="L37" s="9"/>
      <c r="M37" s="9"/>
      <c r="N37" s="9"/>
      <c r="O37" s="9"/>
      <c r="P37" s="9"/>
    </row>
    <row r="38" spans="1:16">
      <c r="A38" t="s">
        <v>73</v>
      </c>
      <c r="B38" s="9"/>
      <c r="C38" s="9"/>
      <c r="D38" s="9"/>
      <c r="E38" s="9"/>
      <c r="F38" s="9"/>
      <c r="G38" s="9"/>
      <c r="H38" s="9"/>
      <c r="I38" s="9"/>
      <c r="J38" s="9"/>
      <c r="K38" s="9"/>
      <c r="L38" s="9"/>
      <c r="M38" s="9"/>
      <c r="N38" s="9"/>
      <c r="O38" s="9"/>
    </row>
    <row r="39" spans="1:16">
      <c r="A39" t="s">
        <v>74</v>
      </c>
      <c r="B39" s="7"/>
      <c r="C39" s="7"/>
      <c r="D39" s="7"/>
      <c r="E39" s="7"/>
      <c r="F39" s="7"/>
      <c r="G39" s="7"/>
      <c r="H39" s="7"/>
      <c r="I39" s="7"/>
      <c r="J39" s="7"/>
      <c r="K39" s="7"/>
      <c r="L39" s="7"/>
      <c r="M39" s="7"/>
      <c r="N39" s="7"/>
      <c r="O39" s="7"/>
      <c r="P39" s="8"/>
    </row>
    <row r="40" spans="1:16">
      <c r="A40" t="s">
        <v>75</v>
      </c>
      <c r="B40" s="8">
        <v>11474756</v>
      </c>
      <c r="C40" s="8">
        <v>11474729</v>
      </c>
      <c r="D40" s="8">
        <v>10536924</v>
      </c>
      <c r="E40" s="8">
        <v>10093031</v>
      </c>
      <c r="F40" s="8">
        <v>8624605</v>
      </c>
      <c r="G40" s="8">
        <v>9545591</v>
      </c>
      <c r="H40" s="8">
        <v>9545592</v>
      </c>
      <c r="I40" s="8">
        <v>8141852</v>
      </c>
      <c r="J40" s="8">
        <v>8135980</v>
      </c>
      <c r="K40" s="8">
        <v>4127441</v>
      </c>
      <c r="L40" s="8">
        <v>3866175</v>
      </c>
      <c r="M40" s="8">
        <v>3941593</v>
      </c>
      <c r="N40" s="8">
        <v>3680924</v>
      </c>
      <c r="O40" s="8">
        <v>3515495</v>
      </c>
      <c r="P40" s="8">
        <v>3594124</v>
      </c>
    </row>
    <row r="41" spans="1:16">
      <c r="A41" t="s">
        <v>76</v>
      </c>
      <c r="B41" s="8">
        <v>27206230</v>
      </c>
      <c r="C41" s="8">
        <v>27206256</v>
      </c>
      <c r="D41" s="8">
        <v>28144061</v>
      </c>
      <c r="E41" s="8">
        <v>28587955</v>
      </c>
      <c r="F41" s="8">
        <v>30056381</v>
      </c>
      <c r="G41" s="8">
        <v>29135395</v>
      </c>
      <c r="H41" s="8">
        <v>29135394</v>
      </c>
      <c r="I41" s="8">
        <v>30539134</v>
      </c>
      <c r="J41" s="8">
        <v>30545006</v>
      </c>
      <c r="K41" s="8">
        <v>34553545</v>
      </c>
      <c r="L41" s="8">
        <v>34814811</v>
      </c>
      <c r="M41" s="8">
        <v>34739392</v>
      </c>
      <c r="N41" s="8">
        <v>35000061</v>
      </c>
      <c r="O41" s="8">
        <v>35165491</v>
      </c>
      <c r="P41" s="8">
        <v>35086861</v>
      </c>
    </row>
    <row r="42" spans="1:16">
      <c r="A42" t="s">
        <v>77</v>
      </c>
    </row>
    <row r="43" spans="1:16">
      <c r="A43" t="s">
        <v>7</v>
      </c>
      <c r="B43" s="9" t="s">
        <v>8</v>
      </c>
      <c r="C43" s="9" t="s">
        <v>8</v>
      </c>
      <c r="D43" t="s">
        <v>15</v>
      </c>
      <c r="E43" t="s">
        <v>17</v>
      </c>
      <c r="F43" t="s">
        <v>17</v>
      </c>
      <c r="G43" t="s">
        <v>18</v>
      </c>
      <c r="H43" t="s">
        <v>18</v>
      </c>
      <c r="I43" t="s">
        <v>18</v>
      </c>
      <c r="J43" t="s">
        <v>18</v>
      </c>
      <c r="K43" t="s">
        <v>13</v>
      </c>
      <c r="L43" t="s">
        <v>15</v>
      </c>
      <c r="M43" t="s">
        <v>15</v>
      </c>
      <c r="N43" t="s">
        <v>17</v>
      </c>
      <c r="O43" t="s">
        <v>18</v>
      </c>
      <c r="P43" t="s">
        <v>18</v>
      </c>
    </row>
    <row r="44" spans="1:16">
      <c r="A44" t="s">
        <v>9</v>
      </c>
      <c r="B44" s="9" t="s">
        <v>8</v>
      </c>
      <c r="C44" s="9" t="s">
        <v>8</v>
      </c>
      <c r="D44" s="9" t="s">
        <v>8</v>
      </c>
      <c r="E44" s="9" t="s">
        <v>8</v>
      </c>
      <c r="F44" t="s">
        <v>8</v>
      </c>
      <c r="G44" s="9" t="s">
        <v>8</v>
      </c>
      <c r="H44" s="9" t="s">
        <v>8</v>
      </c>
      <c r="I44" t="s">
        <v>8</v>
      </c>
      <c r="J44" t="s">
        <v>8</v>
      </c>
      <c r="K44" t="s">
        <v>8</v>
      </c>
      <c r="L44" t="s">
        <v>8</v>
      </c>
      <c r="M44" t="s">
        <v>8</v>
      </c>
      <c r="N44" t="s">
        <v>8</v>
      </c>
      <c r="O44" t="s">
        <v>8</v>
      </c>
      <c r="P44" t="s">
        <v>8</v>
      </c>
    </row>
    <row r="45" spans="1:16">
      <c r="A45" t="s">
        <v>10</v>
      </c>
      <c r="B45" s="9" t="s">
        <v>8</v>
      </c>
      <c r="C45" s="9" t="s">
        <v>8</v>
      </c>
      <c r="D45" s="9" t="s">
        <v>8</v>
      </c>
      <c r="E45" s="9" t="s">
        <v>8</v>
      </c>
      <c r="F45" s="9" t="s">
        <v>20</v>
      </c>
      <c r="G45" s="9" t="s">
        <v>8</v>
      </c>
      <c r="H45" s="9" t="s">
        <v>8</v>
      </c>
      <c r="I45" s="9" t="s">
        <v>20</v>
      </c>
      <c r="J45" t="s">
        <v>20</v>
      </c>
      <c r="K45" s="9" t="s">
        <v>21</v>
      </c>
      <c r="L45" t="s">
        <v>21</v>
      </c>
      <c r="M45" t="s">
        <v>21</v>
      </c>
      <c r="N45" t="s">
        <v>21</v>
      </c>
      <c r="O45" t="s">
        <v>21</v>
      </c>
      <c r="P45" t="s">
        <v>21</v>
      </c>
    </row>
    <row r="46" spans="1:16">
      <c r="A46" t="s">
        <v>11</v>
      </c>
      <c r="B46" s="9" t="s">
        <v>12</v>
      </c>
      <c r="C46" s="9" t="s">
        <v>14</v>
      </c>
      <c r="D46" s="9" t="s">
        <v>12</v>
      </c>
      <c r="E46" s="9" t="s">
        <v>12</v>
      </c>
      <c r="F46" s="9" t="s">
        <v>12</v>
      </c>
      <c r="G46" s="9" t="s">
        <v>12</v>
      </c>
      <c r="H46" s="9" t="s">
        <v>14</v>
      </c>
      <c r="I46" s="9" t="s">
        <v>12</v>
      </c>
      <c r="J46" s="9" t="s">
        <v>14</v>
      </c>
      <c r="K46" s="9" t="s">
        <v>12</v>
      </c>
      <c r="L46" s="9" t="s">
        <v>12</v>
      </c>
      <c r="M46" s="9" t="s">
        <v>19</v>
      </c>
      <c r="N46" s="9" t="s">
        <v>12</v>
      </c>
      <c r="O46" s="9" t="s">
        <v>12</v>
      </c>
      <c r="P46" s="9" t="s">
        <v>14</v>
      </c>
    </row>
    <row r="47" spans="1:16">
      <c r="A47" t="s">
        <v>78</v>
      </c>
      <c r="B47" s="9"/>
      <c r="C47" s="9"/>
      <c r="D47" s="9"/>
      <c r="E47" s="9"/>
      <c r="F47" s="9"/>
      <c r="G47" s="9"/>
      <c r="H47" s="9"/>
      <c r="I47" s="9"/>
      <c r="J47" s="9"/>
      <c r="K47" s="9"/>
      <c r="L47" s="9"/>
      <c r="M47" s="9"/>
      <c r="N47" s="9"/>
      <c r="O47" s="9"/>
      <c r="P47" s="9"/>
    </row>
    <row r="48" spans="1:16">
      <c r="A48" t="s">
        <v>79</v>
      </c>
      <c r="B48" s="8">
        <v>0</v>
      </c>
      <c r="C48" s="6">
        <v>120000</v>
      </c>
      <c r="D48" s="6">
        <v>1060264.69</v>
      </c>
      <c r="E48" s="6">
        <v>1561931.14</v>
      </c>
      <c r="F48" s="6">
        <v>2513397.23</v>
      </c>
      <c r="G48" s="6">
        <v>2568115.2999999998</v>
      </c>
      <c r="H48" s="6">
        <v>2688115.3</v>
      </c>
      <c r="I48" s="6">
        <v>3520582.77</v>
      </c>
      <c r="J48" s="6">
        <v>3640583.65</v>
      </c>
      <c r="K48" s="6">
        <v>4333002.13</v>
      </c>
      <c r="L48" s="6">
        <v>4836791.5999999996</v>
      </c>
      <c r="M48" s="6">
        <v>4921730.59</v>
      </c>
      <c r="N48" s="6">
        <v>5341346.51</v>
      </c>
      <c r="O48" s="6">
        <v>6350314.8099999996</v>
      </c>
      <c r="P48">
        <v>6470234.3099999996</v>
      </c>
    </row>
    <row r="49" spans="1:16">
      <c r="A49" t="s">
        <v>80</v>
      </c>
      <c r="B49" s="9">
        <v>0.99999928000000005</v>
      </c>
      <c r="C49" s="9">
        <v>0.99999917999999999</v>
      </c>
      <c r="D49" s="9">
        <v>0.99999917999999999</v>
      </c>
      <c r="E49" s="9">
        <v>0.99999916</v>
      </c>
      <c r="F49" s="9">
        <v>0.99999925000000001</v>
      </c>
      <c r="G49" s="9">
        <v>0.99999921999999997</v>
      </c>
      <c r="H49" s="9">
        <v>0.99999941000000003</v>
      </c>
      <c r="I49" s="9">
        <v>0.99999890999999996</v>
      </c>
      <c r="J49" s="9">
        <v>0.99999974999999997</v>
      </c>
      <c r="K49" s="9">
        <v>0.99999952999999997</v>
      </c>
      <c r="L49" s="9">
        <v>0.99999950000000004</v>
      </c>
      <c r="M49" s="9">
        <v>0.99999976999999995</v>
      </c>
      <c r="N49" s="9">
        <v>0.99999967000000001</v>
      </c>
      <c r="O49" s="9">
        <v>0.99999945000000001</v>
      </c>
      <c r="P49">
        <v>0.99999985999999996</v>
      </c>
    </row>
    <row r="50" spans="1:16">
      <c r="A50" t="s">
        <v>152</v>
      </c>
      <c r="B50">
        <v>12.63</v>
      </c>
      <c r="C50">
        <v>12.63</v>
      </c>
      <c r="D50">
        <v>11.27</v>
      </c>
      <c r="E50">
        <v>10.73</v>
      </c>
      <c r="F50">
        <v>8.83</v>
      </c>
      <c r="G50">
        <v>10.09</v>
      </c>
      <c r="H50">
        <v>10.08</v>
      </c>
      <c r="I50">
        <v>8.2899999999999991</v>
      </c>
      <c r="J50">
        <v>8.2899999999999991</v>
      </c>
      <c r="K50">
        <v>3.83</v>
      </c>
      <c r="L50">
        <v>3.59</v>
      </c>
      <c r="M50">
        <v>3.64</v>
      </c>
      <c r="N50">
        <v>3.39</v>
      </c>
      <c r="O50">
        <v>3.23</v>
      </c>
      <c r="P50">
        <v>3.31</v>
      </c>
    </row>
    <row r="51" spans="1:16">
      <c r="A51" t="s">
        <v>153</v>
      </c>
      <c r="B51">
        <v>11860.2</v>
      </c>
      <c r="C51">
        <v>11860.18</v>
      </c>
      <c r="D51">
        <v>11010.7</v>
      </c>
      <c r="E51">
        <v>11306.32</v>
      </c>
      <c r="F51">
        <v>10452.280000000001</v>
      </c>
      <c r="G51">
        <v>13540.14</v>
      </c>
      <c r="H51">
        <v>13540.14</v>
      </c>
      <c r="I51">
        <v>13206.3</v>
      </c>
      <c r="J51">
        <v>13200.63</v>
      </c>
      <c r="K51">
        <v>14679.45</v>
      </c>
      <c r="L51">
        <v>16124.94</v>
      </c>
      <c r="M51">
        <v>16175.28</v>
      </c>
      <c r="N51">
        <v>17995.53</v>
      </c>
      <c r="O51">
        <v>21884.61</v>
      </c>
      <c r="P51">
        <v>21929.439999999999</v>
      </c>
    </row>
    <row r="52" spans="1:16">
      <c r="A52" t="s">
        <v>83</v>
      </c>
      <c r="B52">
        <v>0</v>
      </c>
      <c r="C52" s="5">
        <v>0</v>
      </c>
      <c r="D52" s="5">
        <v>115935.97</v>
      </c>
      <c r="E52" s="5">
        <v>845840.65</v>
      </c>
      <c r="F52" s="5">
        <v>1487986.36</v>
      </c>
      <c r="G52" s="5">
        <v>3554503.35</v>
      </c>
      <c r="H52" s="5">
        <v>3554503.35</v>
      </c>
      <c r="I52" s="5">
        <v>4635251.2699999996</v>
      </c>
      <c r="J52" s="5">
        <v>4635639.5999999996</v>
      </c>
      <c r="K52" s="5">
        <v>10074934.58</v>
      </c>
      <c r="L52" s="5">
        <v>11734718.77</v>
      </c>
      <c r="M52" s="5">
        <v>11708000.390000001</v>
      </c>
      <c r="N52" s="5">
        <v>13729770.060000001</v>
      </c>
      <c r="O52" s="5">
        <v>17657887.289999999</v>
      </c>
      <c r="P52">
        <v>17622629.960000001</v>
      </c>
    </row>
    <row r="53" spans="1:16">
      <c r="A53" t="s">
        <v>84</v>
      </c>
      <c r="B53" s="9">
        <v>0.58550000000000002</v>
      </c>
      <c r="C53" s="9">
        <v>0.58579999999999999</v>
      </c>
      <c r="D53" s="9">
        <v>0.51280000000000003</v>
      </c>
      <c r="E53" s="9">
        <v>0.4849</v>
      </c>
      <c r="F53" s="9">
        <v>0.39190000000000003</v>
      </c>
      <c r="G53" s="9">
        <v>0.4511</v>
      </c>
      <c r="H53" s="9">
        <v>0.45190000000000002</v>
      </c>
      <c r="I53" s="9">
        <v>0.36380000000000001</v>
      </c>
      <c r="J53" s="9">
        <v>0.36480000000000001</v>
      </c>
      <c r="K53" s="9">
        <v>0.15379999999999999</v>
      </c>
      <c r="L53" s="9">
        <v>0.14249999999999999</v>
      </c>
      <c r="M53" s="9">
        <v>0.14510000000000001</v>
      </c>
      <c r="N53" s="9">
        <v>0.1333</v>
      </c>
      <c r="O53" s="9">
        <v>0.12659999999999999</v>
      </c>
      <c r="P53" s="9">
        <v>0.13020000000000001</v>
      </c>
    </row>
    <row r="54" spans="1:16">
      <c r="A54" t="s">
        <v>213</v>
      </c>
      <c r="B54" s="5">
        <v>11687.612552956321</v>
      </c>
      <c r="C54" s="5">
        <v>11687.585052106726</v>
      </c>
      <c r="D54" s="5">
        <v>10732.383783319377</v>
      </c>
      <c r="E54" s="5">
        <v>10280.25657477835</v>
      </c>
      <c r="F54" s="5">
        <v>8784.5912943412368</v>
      </c>
      <c r="G54" s="5">
        <v>9722.6615709289945</v>
      </c>
      <c r="H54" s="5">
        <v>9722.6625894789795</v>
      </c>
      <c r="I54" s="5">
        <v>8292.8832333787796</v>
      </c>
      <c r="J54" s="5">
        <v>8286.9023078662049</v>
      </c>
      <c r="K54" s="5">
        <v>4204.0049690979577</v>
      </c>
      <c r="L54" s="5">
        <v>3937.8924886878567</v>
      </c>
      <c r="M54" s="5">
        <v>4014.7094914649842</v>
      </c>
      <c r="N54" s="5">
        <v>3749.205085395995</v>
      </c>
      <c r="O54" s="5">
        <v>3580.7073799090099</v>
      </c>
      <c r="P54" s="5">
        <v>3660.7949466883297</v>
      </c>
    </row>
    <row r="55" spans="1:16">
      <c r="A55" t="s">
        <v>214</v>
      </c>
      <c r="B55" s="5">
        <v>172.58744704367928</v>
      </c>
      <c r="C55" s="5">
        <v>172.59494789327437</v>
      </c>
      <c r="D55" s="5">
        <v>278.31621668062326</v>
      </c>
      <c r="E55" s="5">
        <v>1026.0634252216496</v>
      </c>
      <c r="F55" s="5">
        <v>1667.6887056587639</v>
      </c>
      <c r="G55" s="5">
        <v>3817.4784290710049</v>
      </c>
      <c r="H55" s="5">
        <v>3817.4774105210199</v>
      </c>
      <c r="I55" s="5">
        <v>4913.4167666212197</v>
      </c>
      <c r="J55" s="5">
        <v>4913.7276921337943</v>
      </c>
      <c r="K55" s="5">
        <v>10475.445030902043</v>
      </c>
      <c r="L55" s="5">
        <v>12187.047511312143</v>
      </c>
      <c r="M55" s="5">
        <v>12160.570508535016</v>
      </c>
      <c r="N55" s="5">
        <v>14246.324914604003</v>
      </c>
      <c r="O55" s="5">
        <v>18303.90262009099</v>
      </c>
      <c r="P55" s="5">
        <v>18268.645053311669</v>
      </c>
    </row>
    <row r="56" spans="1:16">
      <c r="A56" t="s">
        <v>25</v>
      </c>
    </row>
    <row r="57" spans="1:16">
      <c r="A57" t="s">
        <v>85</v>
      </c>
      <c r="B57" s="8">
        <v>0</v>
      </c>
      <c r="C57" s="8">
        <v>0</v>
      </c>
      <c r="D57" s="8">
        <v>0</v>
      </c>
      <c r="E57" s="8">
        <v>0</v>
      </c>
      <c r="F57" s="8">
        <v>0</v>
      </c>
      <c r="G57" s="8">
        <v>0</v>
      </c>
      <c r="H57" s="8">
        <v>0</v>
      </c>
      <c r="I57" s="8">
        <v>0</v>
      </c>
      <c r="J57" s="8">
        <v>0</v>
      </c>
      <c r="K57" s="8">
        <v>0</v>
      </c>
      <c r="L57" s="8">
        <v>0</v>
      </c>
      <c r="M57" s="8">
        <v>0</v>
      </c>
      <c r="N57" s="8">
        <v>0</v>
      </c>
      <c r="O57" s="8">
        <v>0</v>
      </c>
      <c r="P57">
        <v>0</v>
      </c>
    </row>
    <row r="58" spans="1:16">
      <c r="A58" t="s">
        <v>86</v>
      </c>
      <c r="B58" s="8">
        <v>0</v>
      </c>
      <c r="C58" s="8">
        <v>120000</v>
      </c>
      <c r="D58" s="8">
        <v>1050000</v>
      </c>
      <c r="E58" s="8">
        <v>1550000</v>
      </c>
      <c r="F58" s="8">
        <v>2500000</v>
      </c>
      <c r="G58" s="8">
        <v>2550000</v>
      </c>
      <c r="H58" s="8">
        <v>2670000</v>
      </c>
      <c r="I58" s="8">
        <v>3500000</v>
      </c>
      <c r="J58" s="8">
        <v>3620000</v>
      </c>
      <c r="K58" s="8">
        <v>4300000</v>
      </c>
      <c r="L58" s="8">
        <v>4800000</v>
      </c>
      <c r="M58" s="8">
        <v>4885000</v>
      </c>
      <c r="N58" s="8">
        <v>5300000</v>
      </c>
      <c r="O58" s="8">
        <v>6300000</v>
      </c>
      <c r="P58">
        <v>6420000</v>
      </c>
    </row>
    <row r="59" spans="1:16">
      <c r="A59" t="s">
        <v>87</v>
      </c>
      <c r="B59" s="8">
        <v>0</v>
      </c>
      <c r="C59" s="8">
        <v>120000</v>
      </c>
      <c r="D59" s="8">
        <v>1050000</v>
      </c>
      <c r="E59" s="8">
        <v>1550000</v>
      </c>
      <c r="F59" s="8">
        <v>2500000</v>
      </c>
      <c r="G59" s="8">
        <v>2550000</v>
      </c>
      <c r="H59" s="8">
        <v>2670000</v>
      </c>
      <c r="I59" s="8">
        <v>3500000</v>
      </c>
      <c r="J59" s="8">
        <v>3620000</v>
      </c>
      <c r="K59" s="8">
        <v>4300000</v>
      </c>
      <c r="L59" s="8">
        <v>4800000</v>
      </c>
      <c r="M59" s="8">
        <v>4885000</v>
      </c>
      <c r="N59" s="8">
        <v>5300000</v>
      </c>
      <c r="O59" s="8">
        <v>6300000</v>
      </c>
      <c r="P59">
        <v>6420000</v>
      </c>
    </row>
    <row r="60" spans="1:16">
      <c r="A60" t="s">
        <v>88</v>
      </c>
    </row>
    <row r="61" spans="1:16">
      <c r="A61" t="s">
        <v>89</v>
      </c>
      <c r="B61">
        <v>1278</v>
      </c>
      <c r="C61">
        <v>1278</v>
      </c>
      <c r="D61">
        <v>1278</v>
      </c>
      <c r="E61">
        <v>1278</v>
      </c>
      <c r="F61">
        <v>1278</v>
      </c>
      <c r="G61">
        <v>1278</v>
      </c>
      <c r="H61">
        <v>1278</v>
      </c>
      <c r="I61">
        <v>1278</v>
      </c>
      <c r="J61">
        <v>1278</v>
      </c>
      <c r="K61">
        <v>1278</v>
      </c>
      <c r="L61">
        <v>1278</v>
      </c>
      <c r="M61">
        <v>1278</v>
      </c>
      <c r="N61">
        <v>1278</v>
      </c>
      <c r="O61">
        <v>1278</v>
      </c>
      <c r="P61">
        <v>1278</v>
      </c>
    </row>
    <row r="62" spans="1:16">
      <c r="A62" t="s">
        <v>96</v>
      </c>
      <c r="B62">
        <v>0</v>
      </c>
      <c r="C62">
        <v>0</v>
      </c>
      <c r="D62">
        <v>200</v>
      </c>
      <c r="E62">
        <v>300</v>
      </c>
      <c r="F62">
        <v>300</v>
      </c>
      <c r="G62">
        <v>500</v>
      </c>
      <c r="H62">
        <v>500</v>
      </c>
      <c r="I62">
        <v>500</v>
      </c>
      <c r="J62">
        <v>500</v>
      </c>
      <c r="K62">
        <v>100</v>
      </c>
      <c r="L62">
        <v>200</v>
      </c>
      <c r="M62">
        <v>200</v>
      </c>
      <c r="N62">
        <v>300</v>
      </c>
      <c r="O62">
        <v>500</v>
      </c>
      <c r="P62">
        <v>500</v>
      </c>
    </row>
    <row r="63" spans="1:16">
      <c r="A63" t="s">
        <v>97</v>
      </c>
      <c r="B63">
        <v>0</v>
      </c>
      <c r="C63">
        <v>0</v>
      </c>
      <c r="D63">
        <v>0</v>
      </c>
      <c r="E63">
        <v>0</v>
      </c>
      <c r="F63">
        <v>100</v>
      </c>
      <c r="G63">
        <v>0</v>
      </c>
      <c r="H63">
        <v>0</v>
      </c>
      <c r="I63">
        <v>100</v>
      </c>
      <c r="J63">
        <v>100</v>
      </c>
      <c r="K63">
        <v>500</v>
      </c>
      <c r="L63">
        <v>500</v>
      </c>
      <c r="M63">
        <v>500</v>
      </c>
      <c r="N63">
        <v>500</v>
      </c>
      <c r="O63">
        <v>500</v>
      </c>
      <c r="P63">
        <v>500</v>
      </c>
    </row>
    <row r="64" spans="1:16">
      <c r="A64" t="s">
        <v>90</v>
      </c>
      <c r="B64" s="9">
        <v>0.34920000000000001</v>
      </c>
      <c r="C64" s="9">
        <v>0.3493</v>
      </c>
      <c r="D64" s="9">
        <v>0.31900000000000001</v>
      </c>
      <c r="E64" s="9">
        <v>0.30070000000000002</v>
      </c>
      <c r="F64" s="9">
        <v>0.2732</v>
      </c>
      <c r="G64" s="9">
        <v>0.27850000000000003</v>
      </c>
      <c r="H64" s="9">
        <v>0.27879999999999999</v>
      </c>
      <c r="I64" s="9">
        <v>0.25309999999999999</v>
      </c>
      <c r="J64" s="9">
        <v>0.2535</v>
      </c>
      <c r="K64" s="9">
        <v>0.1149</v>
      </c>
      <c r="L64" s="9">
        <v>0.10680000000000001</v>
      </c>
      <c r="M64" s="9">
        <v>0.108</v>
      </c>
      <c r="N64" s="9">
        <v>9.9699999999999997E-2</v>
      </c>
      <c r="O64" s="9">
        <v>9.4E-2</v>
      </c>
      <c r="P64">
        <v>9.5899999999999999E-2</v>
      </c>
    </row>
    <row r="65" spans="1:16">
      <c r="A65" t="s">
        <v>91</v>
      </c>
      <c r="B65" s="9">
        <v>0.58550000000000002</v>
      </c>
      <c r="C65" s="9">
        <v>0.58579999999999999</v>
      </c>
      <c r="D65" s="9">
        <v>0.51280000000000003</v>
      </c>
      <c r="E65" s="9">
        <v>0.4849</v>
      </c>
      <c r="F65" s="9">
        <v>0.39190000000000003</v>
      </c>
      <c r="G65" s="9">
        <v>0.4511</v>
      </c>
      <c r="H65" s="9">
        <v>0.45190000000000002</v>
      </c>
      <c r="I65" s="9">
        <v>0.36380000000000001</v>
      </c>
      <c r="J65" s="9">
        <v>0.36480000000000001</v>
      </c>
      <c r="K65" s="9">
        <v>0.15379999999999999</v>
      </c>
      <c r="L65" s="9">
        <v>0.14249999999999999</v>
      </c>
      <c r="M65" s="9">
        <v>0.14510000000000001</v>
      </c>
      <c r="N65" s="9">
        <v>0.1333</v>
      </c>
      <c r="O65" s="9">
        <v>0.12659999999999999</v>
      </c>
      <c r="P65">
        <v>0.13020000000000001</v>
      </c>
    </row>
    <row r="66" spans="1:16">
      <c r="A66" t="s">
        <v>92</v>
      </c>
    </row>
    <row r="67" spans="1:16">
      <c r="A67" t="s">
        <v>51</v>
      </c>
      <c r="B67">
        <v>0</v>
      </c>
      <c r="C67">
        <v>0</v>
      </c>
      <c r="D67">
        <v>4406250.63</v>
      </c>
      <c r="E67">
        <v>5937439.25</v>
      </c>
      <c r="F67">
        <v>5937439.25</v>
      </c>
      <c r="G67">
        <v>7750963.1500000004</v>
      </c>
      <c r="H67">
        <v>7750963.1500000004</v>
      </c>
      <c r="I67">
        <v>7750963.1500000004</v>
      </c>
      <c r="J67">
        <v>7750963.1500000004</v>
      </c>
      <c r="K67">
        <v>2261093.2999999998</v>
      </c>
      <c r="L67">
        <v>4406250.63</v>
      </c>
      <c r="M67">
        <v>4406250.63</v>
      </c>
      <c r="N67">
        <v>5937439.25</v>
      </c>
      <c r="O67">
        <v>7750963.1500000004</v>
      </c>
      <c r="P67">
        <v>7750963.1500000004</v>
      </c>
    </row>
    <row r="68" spans="1:16">
      <c r="A68" t="s">
        <v>55</v>
      </c>
      <c r="B68">
        <v>0</v>
      </c>
      <c r="C68">
        <v>0</v>
      </c>
      <c r="D68">
        <v>4406250.63</v>
      </c>
      <c r="E68">
        <v>5937439.25</v>
      </c>
      <c r="F68">
        <v>5937439.25</v>
      </c>
      <c r="G68">
        <v>7750963.1500000004</v>
      </c>
      <c r="H68">
        <v>7750963.1500000004</v>
      </c>
      <c r="I68">
        <v>7750963.1500000004</v>
      </c>
      <c r="J68">
        <v>7750963.1500000004</v>
      </c>
      <c r="K68">
        <v>2261093.2999999998</v>
      </c>
      <c r="L68">
        <v>4406250.63</v>
      </c>
      <c r="M68">
        <v>4406250.63</v>
      </c>
      <c r="N68">
        <v>5937439.25</v>
      </c>
      <c r="O68">
        <v>7750963.1500000004</v>
      </c>
      <c r="P68">
        <v>7750963.1500000004</v>
      </c>
    </row>
    <row r="69" spans="1:16">
      <c r="A69" t="s">
        <v>53</v>
      </c>
      <c r="B69">
        <v>0</v>
      </c>
      <c r="C69">
        <v>0</v>
      </c>
      <c r="D69">
        <v>4406250.63</v>
      </c>
      <c r="E69">
        <v>5937439.25</v>
      </c>
      <c r="F69">
        <v>5937439.25</v>
      </c>
      <c r="G69">
        <v>7750963.1500000004</v>
      </c>
      <c r="H69">
        <v>7750963.1500000004</v>
      </c>
      <c r="I69">
        <v>7750963.1500000004</v>
      </c>
      <c r="J69">
        <v>7750963.1500000004</v>
      </c>
      <c r="K69">
        <v>2261093.2999999998</v>
      </c>
      <c r="L69">
        <v>4406250.63</v>
      </c>
      <c r="M69">
        <v>4406250.63</v>
      </c>
      <c r="N69">
        <v>5937439.25</v>
      </c>
      <c r="O69">
        <v>7750963.1500000004</v>
      </c>
      <c r="P69">
        <v>7750963.1500000004</v>
      </c>
    </row>
    <row r="70" spans="1:16">
      <c r="A70" t="s">
        <v>65</v>
      </c>
      <c r="B70">
        <v>0</v>
      </c>
      <c r="C70">
        <v>0</v>
      </c>
      <c r="D70">
        <v>4406250.63</v>
      </c>
      <c r="E70">
        <v>5937439.25</v>
      </c>
      <c r="F70">
        <v>5937439.25</v>
      </c>
      <c r="G70">
        <v>7750963.1500000004</v>
      </c>
      <c r="H70">
        <v>7750963.1500000004</v>
      </c>
      <c r="I70">
        <v>7750963.1500000004</v>
      </c>
      <c r="J70">
        <v>7750963.1500000004</v>
      </c>
      <c r="K70">
        <v>2261093.2999999998</v>
      </c>
      <c r="L70">
        <v>4406250.63</v>
      </c>
      <c r="M70">
        <v>4406250.63</v>
      </c>
      <c r="N70">
        <v>5937439.25</v>
      </c>
      <c r="O70">
        <v>7750963.1500000004</v>
      </c>
      <c r="P70">
        <v>7750963.1500000004</v>
      </c>
    </row>
    <row r="71" spans="1:16">
      <c r="A71" t="s">
        <v>93</v>
      </c>
    </row>
    <row r="72" spans="1:16">
      <c r="A72" t="s">
        <v>51</v>
      </c>
      <c r="B72">
        <v>0</v>
      </c>
      <c r="C72">
        <v>0</v>
      </c>
      <c r="D72">
        <v>115935.97</v>
      </c>
      <c r="E72">
        <v>845840.65</v>
      </c>
      <c r="F72">
        <v>845840.65</v>
      </c>
      <c r="G72">
        <v>3554503.35</v>
      </c>
      <c r="H72">
        <v>3554503.35</v>
      </c>
      <c r="I72">
        <v>3554503.35</v>
      </c>
      <c r="J72">
        <v>3554503.35</v>
      </c>
      <c r="K72">
        <v>0</v>
      </c>
      <c r="L72">
        <v>115935.97</v>
      </c>
      <c r="M72">
        <v>115935.97</v>
      </c>
      <c r="N72">
        <v>845840.65</v>
      </c>
      <c r="O72">
        <v>3554503.35</v>
      </c>
      <c r="P72">
        <v>3554503.35</v>
      </c>
    </row>
    <row r="73" spans="1:16">
      <c r="A73" t="s">
        <v>55</v>
      </c>
      <c r="B73">
        <v>0</v>
      </c>
      <c r="C73">
        <v>0</v>
      </c>
      <c r="D73">
        <v>115935.97</v>
      </c>
      <c r="E73">
        <v>845840.65</v>
      </c>
      <c r="F73">
        <v>845840.65</v>
      </c>
      <c r="G73">
        <v>3554503.35</v>
      </c>
      <c r="H73">
        <v>3554503.35</v>
      </c>
      <c r="I73">
        <v>3554503.35</v>
      </c>
      <c r="J73">
        <v>3554503.35</v>
      </c>
      <c r="K73">
        <v>0</v>
      </c>
      <c r="L73">
        <v>115935.97</v>
      </c>
      <c r="M73">
        <v>115935.97</v>
      </c>
      <c r="N73">
        <v>845840.65</v>
      </c>
      <c r="O73">
        <v>3554503.35</v>
      </c>
      <c r="P73">
        <v>3554503.35</v>
      </c>
    </row>
    <row r="74" spans="1:16">
      <c r="A74" t="s">
        <v>53</v>
      </c>
      <c r="B74">
        <v>0</v>
      </c>
      <c r="C74">
        <v>0</v>
      </c>
      <c r="D74">
        <v>115935.97</v>
      </c>
      <c r="E74">
        <v>845840.65</v>
      </c>
      <c r="F74">
        <v>845840.65</v>
      </c>
      <c r="G74">
        <v>3554503.35</v>
      </c>
      <c r="H74">
        <v>3554503.35</v>
      </c>
      <c r="I74">
        <v>3554503.35</v>
      </c>
      <c r="J74">
        <v>3554503.35</v>
      </c>
      <c r="K74">
        <v>0</v>
      </c>
      <c r="L74">
        <v>115935.97</v>
      </c>
      <c r="M74">
        <v>115935.97</v>
      </c>
      <c r="N74">
        <v>845840.65</v>
      </c>
      <c r="O74">
        <v>3554503.35</v>
      </c>
      <c r="P74">
        <v>3554503.35</v>
      </c>
    </row>
    <row r="75" spans="1:16">
      <c r="A75" t="s">
        <v>65</v>
      </c>
      <c r="B75">
        <v>0</v>
      </c>
      <c r="C75">
        <v>0</v>
      </c>
      <c r="D75">
        <v>115935.97</v>
      </c>
      <c r="E75">
        <v>845840.65</v>
      </c>
      <c r="F75">
        <v>845840.65</v>
      </c>
      <c r="G75">
        <v>3554503.35</v>
      </c>
      <c r="H75">
        <v>3554503.35</v>
      </c>
      <c r="I75">
        <v>3554503.35</v>
      </c>
      <c r="J75">
        <v>3554503.35</v>
      </c>
      <c r="K75">
        <v>0</v>
      </c>
      <c r="L75">
        <v>115935.97</v>
      </c>
      <c r="M75">
        <v>115935.97</v>
      </c>
      <c r="N75">
        <v>845840.65</v>
      </c>
      <c r="O75">
        <v>3554503.35</v>
      </c>
      <c r="P75">
        <v>3554503.35</v>
      </c>
    </row>
    <row r="76" spans="1:16">
      <c r="A76" t="s">
        <v>94</v>
      </c>
    </row>
    <row r="77" spans="1:16">
      <c r="A77" t="s">
        <v>51</v>
      </c>
      <c r="B77">
        <v>0</v>
      </c>
      <c r="C77">
        <v>0</v>
      </c>
      <c r="D77">
        <v>0</v>
      </c>
      <c r="E77">
        <v>0</v>
      </c>
      <c r="F77">
        <v>6231037.25</v>
      </c>
      <c r="G77">
        <v>0</v>
      </c>
      <c r="H77">
        <v>0</v>
      </c>
      <c r="I77">
        <v>5914777.9900000002</v>
      </c>
      <c r="J77">
        <v>5910247.7000000002</v>
      </c>
      <c r="K77">
        <v>24310473.82</v>
      </c>
      <c r="L77">
        <v>22849020.25</v>
      </c>
      <c r="M77">
        <v>22683547.329999998</v>
      </c>
      <c r="N77">
        <v>21870194</v>
      </c>
      <c r="O77">
        <v>20450480.68</v>
      </c>
      <c r="P77">
        <v>20222367.32</v>
      </c>
    </row>
    <row r="78" spans="1:16">
      <c r="A78" t="s">
        <v>55</v>
      </c>
      <c r="B78">
        <v>0</v>
      </c>
      <c r="C78">
        <v>0</v>
      </c>
      <c r="D78">
        <v>0</v>
      </c>
      <c r="E78">
        <v>0</v>
      </c>
      <c r="F78">
        <v>6231037.25</v>
      </c>
      <c r="G78">
        <v>0</v>
      </c>
      <c r="H78">
        <v>0</v>
      </c>
      <c r="I78">
        <v>5914777.9900000002</v>
      </c>
      <c r="J78">
        <v>5910247.7000000002</v>
      </c>
      <c r="K78">
        <v>24310473.82</v>
      </c>
      <c r="L78">
        <v>22849020.25</v>
      </c>
      <c r="M78">
        <v>22683547.329999998</v>
      </c>
      <c r="N78">
        <v>21870194</v>
      </c>
      <c r="O78">
        <v>20450480.68</v>
      </c>
      <c r="P78">
        <v>20222367.32</v>
      </c>
    </row>
    <row r="79" spans="1:16">
      <c r="A79" t="s">
        <v>53</v>
      </c>
      <c r="B79">
        <v>0</v>
      </c>
      <c r="C79">
        <v>0</v>
      </c>
      <c r="D79">
        <v>0</v>
      </c>
      <c r="E79">
        <v>0</v>
      </c>
      <c r="F79">
        <v>6231037.25</v>
      </c>
      <c r="G79">
        <v>0</v>
      </c>
      <c r="H79">
        <v>0</v>
      </c>
      <c r="I79">
        <v>5914777.9900000002</v>
      </c>
      <c r="J79">
        <v>5910247.7000000002</v>
      </c>
      <c r="K79">
        <v>24310473.82</v>
      </c>
      <c r="L79">
        <v>22849020.25</v>
      </c>
      <c r="M79">
        <v>22683547.329999998</v>
      </c>
      <c r="N79">
        <v>21870194</v>
      </c>
      <c r="O79">
        <v>20450480.68</v>
      </c>
      <c r="P79">
        <v>20222367.32</v>
      </c>
    </row>
    <row r="80" spans="1:16">
      <c r="A80" t="s">
        <v>65</v>
      </c>
      <c r="B80">
        <v>0</v>
      </c>
      <c r="C80">
        <v>0</v>
      </c>
      <c r="D80">
        <v>0</v>
      </c>
      <c r="E80">
        <v>0</v>
      </c>
      <c r="F80">
        <v>6231037.25</v>
      </c>
      <c r="G80">
        <v>0</v>
      </c>
      <c r="H80">
        <v>0</v>
      </c>
      <c r="I80">
        <v>5914777.9900000002</v>
      </c>
      <c r="J80">
        <v>5910247.7000000002</v>
      </c>
      <c r="K80">
        <v>24310473.82</v>
      </c>
      <c r="L80">
        <v>22849020.25</v>
      </c>
      <c r="M80">
        <v>22683547.329999998</v>
      </c>
      <c r="N80">
        <v>21870194</v>
      </c>
      <c r="O80">
        <v>20450480.68</v>
      </c>
      <c r="P80">
        <v>20222367.32</v>
      </c>
    </row>
    <row r="81" spans="1:16">
      <c r="A81" t="s">
        <v>95</v>
      </c>
    </row>
    <row r="82" spans="1:16">
      <c r="A82" t="s">
        <v>51</v>
      </c>
      <c r="B82">
        <v>0</v>
      </c>
      <c r="C82">
        <v>0</v>
      </c>
      <c r="D82">
        <v>0</v>
      </c>
      <c r="E82">
        <v>0</v>
      </c>
      <c r="F82">
        <v>642145.71</v>
      </c>
      <c r="G82">
        <v>0</v>
      </c>
      <c r="H82">
        <v>0</v>
      </c>
      <c r="I82">
        <v>1080747.92</v>
      </c>
      <c r="J82">
        <v>1081136.25</v>
      </c>
      <c r="K82">
        <v>10074934.58</v>
      </c>
      <c r="L82">
        <v>11618782.800000001</v>
      </c>
      <c r="M82">
        <v>11592064.42</v>
      </c>
      <c r="N82">
        <v>12883929.41</v>
      </c>
      <c r="O82">
        <v>14103383.939999999</v>
      </c>
      <c r="P82">
        <v>14068126.609999999</v>
      </c>
    </row>
    <row r="83" spans="1:16">
      <c r="A83" t="s">
        <v>55</v>
      </c>
      <c r="B83">
        <v>0</v>
      </c>
      <c r="C83">
        <v>0</v>
      </c>
      <c r="D83">
        <v>0</v>
      </c>
      <c r="E83">
        <v>0</v>
      </c>
      <c r="F83">
        <v>642145.71</v>
      </c>
      <c r="G83">
        <v>0</v>
      </c>
      <c r="H83">
        <v>0</v>
      </c>
      <c r="I83">
        <v>1080747.92</v>
      </c>
      <c r="J83">
        <v>1081136.25</v>
      </c>
      <c r="K83">
        <v>10074934.58</v>
      </c>
      <c r="L83">
        <v>11618782.800000001</v>
      </c>
      <c r="M83">
        <v>11592064.42</v>
      </c>
      <c r="N83">
        <v>12883929.41</v>
      </c>
      <c r="O83">
        <v>14103383.939999999</v>
      </c>
      <c r="P83">
        <v>14068126.609999999</v>
      </c>
    </row>
    <row r="84" spans="1:16">
      <c r="A84" t="s">
        <v>53</v>
      </c>
      <c r="B84">
        <v>0</v>
      </c>
      <c r="C84">
        <v>0</v>
      </c>
      <c r="D84">
        <v>0</v>
      </c>
      <c r="E84">
        <v>0</v>
      </c>
      <c r="F84">
        <v>642145.71</v>
      </c>
      <c r="G84">
        <v>0</v>
      </c>
      <c r="H84">
        <v>0</v>
      </c>
      <c r="I84">
        <v>1080747.92</v>
      </c>
      <c r="J84">
        <v>1081136.25</v>
      </c>
      <c r="K84">
        <v>10074934.58</v>
      </c>
      <c r="L84">
        <v>11618782.800000001</v>
      </c>
      <c r="M84">
        <v>11592064.42</v>
      </c>
      <c r="N84">
        <v>12883929.41</v>
      </c>
      <c r="O84">
        <v>14103383.939999999</v>
      </c>
      <c r="P84">
        <v>14068126.609999999</v>
      </c>
    </row>
    <row r="85" spans="1:16">
      <c r="A85" t="s">
        <v>65</v>
      </c>
      <c r="B85">
        <v>0</v>
      </c>
      <c r="C85">
        <v>0</v>
      </c>
      <c r="D85">
        <v>0</v>
      </c>
      <c r="E85">
        <v>0</v>
      </c>
      <c r="F85">
        <v>642145.71</v>
      </c>
      <c r="G85">
        <v>0</v>
      </c>
      <c r="H85" s="9">
        <v>0</v>
      </c>
      <c r="I85">
        <v>1080747.92</v>
      </c>
      <c r="J85">
        <v>1081136.25</v>
      </c>
      <c r="K85">
        <v>10074934.58</v>
      </c>
      <c r="L85">
        <v>11618782.800000001</v>
      </c>
      <c r="M85">
        <v>11592064.42</v>
      </c>
      <c r="N85">
        <v>12883929.41</v>
      </c>
      <c r="O85">
        <v>14103383.939999999</v>
      </c>
      <c r="P85">
        <v>14068126.609999999</v>
      </c>
    </row>
    <row r="86" spans="1:16">
      <c r="A86" t="s">
        <v>109</v>
      </c>
      <c r="C86" s="9"/>
      <c r="D86" s="9"/>
      <c r="E86" s="9"/>
      <c r="H86" s="7"/>
      <c r="I86" s="9"/>
      <c r="K86" s="9"/>
    </row>
    <row r="87" spans="1:16">
      <c r="A87" t="s">
        <v>110</v>
      </c>
      <c r="B87" s="9">
        <v>0</v>
      </c>
      <c r="C87" s="9">
        <v>0</v>
      </c>
      <c r="D87" s="9">
        <v>0</v>
      </c>
      <c r="E87" s="7">
        <v>0</v>
      </c>
      <c r="F87" s="9">
        <v>0</v>
      </c>
      <c r="G87" s="9">
        <v>0</v>
      </c>
      <c r="H87" s="9">
        <v>0</v>
      </c>
      <c r="I87" s="9">
        <v>0</v>
      </c>
      <c r="J87" s="9">
        <v>0</v>
      </c>
      <c r="K87" s="9">
        <v>0</v>
      </c>
      <c r="L87" s="9">
        <v>0</v>
      </c>
      <c r="M87" s="9">
        <v>0</v>
      </c>
      <c r="N87" s="9">
        <v>0</v>
      </c>
      <c r="O87" s="9">
        <v>0</v>
      </c>
      <c r="P87" s="9">
        <v>0</v>
      </c>
    </row>
    <row r="88" spans="1:16">
      <c r="A88" t="s">
        <v>112</v>
      </c>
      <c r="B88" s="9">
        <v>0</v>
      </c>
      <c r="C88" s="7">
        <v>0</v>
      </c>
      <c r="D88" s="7">
        <v>0</v>
      </c>
      <c r="E88" s="9">
        <v>0</v>
      </c>
      <c r="F88" s="9">
        <v>0</v>
      </c>
      <c r="G88" s="7">
        <v>0</v>
      </c>
      <c r="H88" s="7">
        <v>0</v>
      </c>
      <c r="I88" s="9">
        <v>0</v>
      </c>
      <c r="J88" s="9">
        <v>0</v>
      </c>
      <c r="K88" s="7">
        <v>0</v>
      </c>
      <c r="L88" s="7">
        <v>0</v>
      </c>
      <c r="M88" s="7">
        <v>0</v>
      </c>
      <c r="N88" s="7">
        <v>0</v>
      </c>
      <c r="O88" s="7">
        <v>0</v>
      </c>
      <c r="P88" s="7">
        <v>0</v>
      </c>
    </row>
    <row r="89" spans="1:16">
      <c r="A89" t="s">
        <v>113</v>
      </c>
      <c r="B89" s="7">
        <v>0</v>
      </c>
      <c r="C89" s="7">
        <v>0</v>
      </c>
      <c r="D89" s="9">
        <v>0</v>
      </c>
      <c r="E89" s="7">
        <v>0</v>
      </c>
      <c r="F89" s="9">
        <v>0</v>
      </c>
      <c r="G89" s="9">
        <v>0</v>
      </c>
      <c r="H89">
        <v>0</v>
      </c>
      <c r="I89" s="7">
        <v>0</v>
      </c>
      <c r="J89" s="7">
        <v>0</v>
      </c>
      <c r="K89">
        <v>0</v>
      </c>
      <c r="L89">
        <v>0</v>
      </c>
      <c r="M89">
        <v>0</v>
      </c>
      <c r="N89">
        <v>0</v>
      </c>
      <c r="O89">
        <v>0</v>
      </c>
      <c r="P89">
        <v>0</v>
      </c>
    </row>
    <row r="90" spans="1:16">
      <c r="A90" t="s">
        <v>114</v>
      </c>
      <c r="B90" s="7"/>
      <c r="C90" s="9"/>
      <c r="D90" s="7"/>
      <c r="F90" s="7"/>
      <c r="G90" s="7"/>
      <c r="H90" s="9"/>
    </row>
    <row r="91" spans="1:16">
      <c r="A91" t="s">
        <v>115</v>
      </c>
      <c r="B91" s="9">
        <v>0</v>
      </c>
      <c r="C91" s="7">
        <v>0</v>
      </c>
      <c r="D91" s="9">
        <v>0</v>
      </c>
      <c r="E91" s="9">
        <v>0</v>
      </c>
      <c r="F91">
        <v>0</v>
      </c>
      <c r="G91">
        <v>0</v>
      </c>
      <c r="H91" s="7">
        <v>0</v>
      </c>
      <c r="I91" s="9">
        <v>0</v>
      </c>
      <c r="J91">
        <v>0</v>
      </c>
      <c r="K91" s="9">
        <v>0</v>
      </c>
      <c r="L91">
        <v>0</v>
      </c>
      <c r="M91">
        <v>0</v>
      </c>
      <c r="N91">
        <v>0</v>
      </c>
      <c r="O91">
        <v>0</v>
      </c>
      <c r="P91">
        <v>0</v>
      </c>
    </row>
    <row r="92" spans="1:16">
      <c r="A92" t="s">
        <v>117</v>
      </c>
      <c r="B92" s="7">
        <v>0</v>
      </c>
      <c r="C92" s="9">
        <v>0</v>
      </c>
      <c r="D92" s="9">
        <v>0</v>
      </c>
      <c r="E92" s="7">
        <v>0</v>
      </c>
      <c r="F92" s="9">
        <v>0</v>
      </c>
      <c r="G92" s="9">
        <v>0</v>
      </c>
      <c r="H92" s="9">
        <v>0</v>
      </c>
      <c r="I92" s="9">
        <v>0</v>
      </c>
      <c r="J92" s="9">
        <v>0</v>
      </c>
      <c r="K92" s="9">
        <v>0</v>
      </c>
      <c r="L92" s="9">
        <v>0</v>
      </c>
      <c r="M92" s="9">
        <v>0</v>
      </c>
      <c r="N92" s="9">
        <v>0</v>
      </c>
      <c r="O92" s="9">
        <v>0</v>
      </c>
      <c r="P92" s="9">
        <v>0</v>
      </c>
    </row>
    <row r="93" spans="1:16">
      <c r="A93" t="s">
        <v>118</v>
      </c>
      <c r="B93" s="9">
        <v>0</v>
      </c>
      <c r="C93" s="7">
        <v>0</v>
      </c>
      <c r="D93" s="7">
        <v>0</v>
      </c>
      <c r="E93" s="9">
        <v>0</v>
      </c>
      <c r="F93" s="9">
        <v>0</v>
      </c>
      <c r="G93" s="7">
        <v>0</v>
      </c>
      <c r="H93" s="7">
        <v>0</v>
      </c>
      <c r="I93" s="9">
        <v>0</v>
      </c>
      <c r="J93" s="9">
        <v>0</v>
      </c>
      <c r="K93" s="7">
        <v>0</v>
      </c>
      <c r="L93" s="7">
        <v>0</v>
      </c>
      <c r="M93" s="7">
        <v>0</v>
      </c>
      <c r="N93" s="7">
        <v>0</v>
      </c>
      <c r="O93" s="7">
        <v>0</v>
      </c>
      <c r="P93" s="7">
        <v>0</v>
      </c>
    </row>
    <row r="94" spans="1:16">
      <c r="A94" t="s">
        <v>50</v>
      </c>
      <c r="B94" s="7">
        <v>0</v>
      </c>
      <c r="C94" s="7">
        <v>0</v>
      </c>
      <c r="D94" s="9">
        <v>0</v>
      </c>
      <c r="E94" s="7">
        <v>0</v>
      </c>
      <c r="F94" s="9">
        <v>0</v>
      </c>
      <c r="G94" s="9">
        <v>0</v>
      </c>
      <c r="H94">
        <v>0</v>
      </c>
      <c r="I94" s="7">
        <v>0</v>
      </c>
      <c r="J94" s="7">
        <v>0</v>
      </c>
      <c r="K94">
        <v>0</v>
      </c>
      <c r="L94">
        <v>0</v>
      </c>
      <c r="M94">
        <v>0</v>
      </c>
      <c r="N94">
        <v>0</v>
      </c>
      <c r="O94">
        <v>0</v>
      </c>
      <c r="P94">
        <v>0</v>
      </c>
    </row>
    <row r="95" spans="1:16">
      <c r="A95" t="s">
        <v>119</v>
      </c>
      <c r="B95" s="7">
        <v>0</v>
      </c>
      <c r="C95" s="9">
        <v>0</v>
      </c>
      <c r="D95" s="7">
        <v>0</v>
      </c>
      <c r="E95">
        <v>0</v>
      </c>
      <c r="F95" s="7">
        <v>0</v>
      </c>
      <c r="G95" s="7">
        <v>0</v>
      </c>
      <c r="H95">
        <v>0</v>
      </c>
      <c r="I95">
        <v>0</v>
      </c>
      <c r="J95">
        <v>0</v>
      </c>
      <c r="K95">
        <v>0</v>
      </c>
      <c r="L95">
        <v>0</v>
      </c>
      <c r="M95">
        <v>0</v>
      </c>
      <c r="N95">
        <v>0</v>
      </c>
      <c r="O95">
        <v>0</v>
      </c>
      <c r="P95">
        <v>0</v>
      </c>
    </row>
    <row r="96" spans="1:16">
      <c r="A96" t="s">
        <v>51</v>
      </c>
      <c r="B96" s="9">
        <v>0.54</v>
      </c>
      <c r="C96" s="7">
        <v>0.54</v>
      </c>
      <c r="D96">
        <v>0.54</v>
      </c>
      <c r="E96">
        <v>0.54</v>
      </c>
      <c r="F96">
        <v>0.54</v>
      </c>
      <c r="G96">
        <v>0.54</v>
      </c>
      <c r="H96">
        <v>0.54</v>
      </c>
      <c r="I96">
        <v>0.54</v>
      </c>
      <c r="J96">
        <v>0.54</v>
      </c>
      <c r="K96">
        <v>0.54</v>
      </c>
      <c r="L96">
        <v>0.54</v>
      </c>
      <c r="M96">
        <v>0.54</v>
      </c>
      <c r="N96">
        <v>0.54</v>
      </c>
      <c r="O96">
        <v>0.54</v>
      </c>
      <c r="P96">
        <v>0.54</v>
      </c>
    </row>
    <row r="97" spans="1:16">
      <c r="A97" t="s">
        <v>53</v>
      </c>
      <c r="B97" s="7">
        <v>169.53</v>
      </c>
      <c r="C97">
        <v>169.53</v>
      </c>
      <c r="D97">
        <v>169.53</v>
      </c>
      <c r="E97">
        <v>169.53</v>
      </c>
      <c r="F97">
        <v>169.53</v>
      </c>
      <c r="G97">
        <v>169.53</v>
      </c>
      <c r="H97">
        <v>169.53</v>
      </c>
      <c r="I97">
        <v>169.53</v>
      </c>
      <c r="J97">
        <v>169.53</v>
      </c>
      <c r="K97">
        <v>169.53</v>
      </c>
      <c r="L97">
        <v>169.53</v>
      </c>
      <c r="M97">
        <v>169.53</v>
      </c>
      <c r="N97">
        <v>169.53</v>
      </c>
      <c r="O97">
        <v>169.53</v>
      </c>
      <c r="P97">
        <v>169.53</v>
      </c>
    </row>
    <row r="98" spans="1:16">
      <c r="A98" t="s">
        <v>55</v>
      </c>
      <c r="B98">
        <v>339.54</v>
      </c>
      <c r="C98">
        <v>339.54</v>
      </c>
      <c r="D98">
        <v>339.54</v>
      </c>
      <c r="E98">
        <v>339.54</v>
      </c>
      <c r="F98">
        <v>339.54</v>
      </c>
      <c r="G98">
        <v>339.54</v>
      </c>
      <c r="H98">
        <v>339.54</v>
      </c>
      <c r="I98">
        <v>339.54</v>
      </c>
      <c r="J98">
        <v>339.54</v>
      </c>
      <c r="K98">
        <v>339.54</v>
      </c>
      <c r="L98">
        <v>339.54</v>
      </c>
      <c r="M98">
        <v>339.54</v>
      </c>
      <c r="N98">
        <v>339.54</v>
      </c>
      <c r="O98">
        <v>339.54</v>
      </c>
      <c r="P98">
        <v>339.54</v>
      </c>
    </row>
    <row r="99" spans="1:16">
      <c r="A99" t="s">
        <v>123</v>
      </c>
      <c r="H99" s="7"/>
    </row>
    <row r="100" spans="1:16">
      <c r="A100" t="s">
        <v>125</v>
      </c>
      <c r="C100" s="7"/>
      <c r="D100" s="7"/>
      <c r="E100" s="7"/>
      <c r="H100" s="7"/>
      <c r="I100" s="7"/>
      <c r="K100" s="7"/>
    </row>
    <row r="101" spans="1:16">
      <c r="A101" t="s">
        <v>124</v>
      </c>
      <c r="B101" s="7"/>
      <c r="C101" s="7"/>
      <c r="D101" s="7"/>
      <c r="E101" s="7"/>
      <c r="F101" s="7"/>
      <c r="G101" s="7"/>
      <c r="H101" s="7"/>
      <c r="I101" s="7"/>
      <c r="J101" s="7"/>
      <c r="K101" s="7"/>
      <c r="L101" s="7"/>
      <c r="M101" s="7"/>
      <c r="N101" s="7"/>
      <c r="O101" s="7"/>
      <c r="P101" s="7"/>
    </row>
    <row r="102" spans="1:16">
      <c r="A102" t="s">
        <v>30</v>
      </c>
      <c r="B102" s="7"/>
      <c r="C102" s="7"/>
      <c r="D102" s="7"/>
      <c r="E102" s="7"/>
      <c r="F102" s="7"/>
      <c r="G102" s="7"/>
      <c r="H102" s="7"/>
      <c r="I102" s="7"/>
      <c r="J102" s="7"/>
      <c r="K102" s="7"/>
      <c r="L102" s="7"/>
      <c r="M102" s="7"/>
      <c r="N102" s="7"/>
      <c r="O102" s="7"/>
      <c r="P102" s="7"/>
    </row>
    <row r="103" spans="1:16">
      <c r="A103" t="s">
        <v>67</v>
      </c>
      <c r="B103" s="7">
        <v>0.99999927</v>
      </c>
      <c r="C103" s="7">
        <v>0.99999916</v>
      </c>
      <c r="D103" s="7">
        <v>0.99999916</v>
      </c>
      <c r="E103" s="7">
        <v>0.99999914000000001</v>
      </c>
      <c r="F103" s="7">
        <v>0.99999921000000003</v>
      </c>
      <c r="G103" s="7">
        <v>0.99999919999999998</v>
      </c>
      <c r="H103" s="9">
        <v>0.99999937999999999</v>
      </c>
      <c r="I103" s="7">
        <v>0.99999886999999998</v>
      </c>
      <c r="J103" s="7">
        <v>0.99999972999999998</v>
      </c>
      <c r="K103" s="9">
        <v>0.99999950000000004</v>
      </c>
      <c r="L103" s="9">
        <v>0.99999948000000005</v>
      </c>
      <c r="M103" s="9">
        <v>0.99999974999999997</v>
      </c>
      <c r="N103" s="9">
        <v>0.99999963999999997</v>
      </c>
      <c r="O103" s="9">
        <v>0.99999943000000002</v>
      </c>
      <c r="P103" s="9">
        <v>0.99999985999999996</v>
      </c>
    </row>
    <row r="104" spans="1:16">
      <c r="A104" t="s">
        <v>68</v>
      </c>
      <c r="B104" s="7">
        <v>1</v>
      </c>
      <c r="C104" s="7">
        <v>1</v>
      </c>
      <c r="D104" s="7">
        <v>1</v>
      </c>
      <c r="E104" s="9">
        <v>1</v>
      </c>
      <c r="F104" s="7">
        <v>1</v>
      </c>
      <c r="G104" s="7">
        <v>1</v>
      </c>
      <c r="H104" s="9">
        <v>1</v>
      </c>
      <c r="I104" s="9">
        <v>1</v>
      </c>
      <c r="J104" s="9">
        <v>1</v>
      </c>
      <c r="K104" s="7">
        <v>1</v>
      </c>
      <c r="L104" s="7">
        <v>1</v>
      </c>
      <c r="M104" s="7">
        <v>1</v>
      </c>
      <c r="N104" s="7">
        <v>1</v>
      </c>
      <c r="O104" s="7">
        <v>1</v>
      </c>
      <c r="P104">
        <v>1</v>
      </c>
    </row>
    <row r="105" spans="1:16">
      <c r="A105" t="s">
        <v>69</v>
      </c>
      <c r="B105" s="7">
        <v>37127915</v>
      </c>
      <c r="C105" s="7">
        <v>37127910.969999999</v>
      </c>
      <c r="D105" s="9">
        <v>37127911.170000002</v>
      </c>
      <c r="E105" s="9">
        <v>37127910.200000003</v>
      </c>
      <c r="F105" s="9">
        <v>37127912.700000003</v>
      </c>
      <c r="G105" s="9">
        <v>37127912.619999997</v>
      </c>
      <c r="H105" s="7">
        <v>37127919.280000001</v>
      </c>
      <c r="I105" s="7">
        <v>37127900.140000001</v>
      </c>
      <c r="J105" s="7">
        <v>37127932.039999999</v>
      </c>
      <c r="K105" s="7">
        <v>37127923.68</v>
      </c>
      <c r="L105" s="7">
        <v>37127922.719999999</v>
      </c>
      <c r="M105" s="7">
        <v>37127932.840000004</v>
      </c>
      <c r="N105" s="7">
        <v>37127928.799999997</v>
      </c>
      <c r="O105" s="7">
        <v>37127920.890000001</v>
      </c>
      <c r="P105" s="7">
        <v>37127936.850000001</v>
      </c>
    </row>
    <row r="106" spans="1:16">
      <c r="A106" t="s">
        <v>71</v>
      </c>
      <c r="B106" s="7">
        <v>27.18</v>
      </c>
      <c r="C106" s="7">
        <v>31.21</v>
      </c>
      <c r="D106" s="9">
        <v>31.01</v>
      </c>
      <c r="E106" s="7">
        <v>31.98</v>
      </c>
      <c r="F106" s="7">
        <v>29.48</v>
      </c>
      <c r="G106" s="9">
        <v>29.56</v>
      </c>
      <c r="H106" s="9">
        <v>22.9</v>
      </c>
      <c r="I106" s="7">
        <v>42.04</v>
      </c>
      <c r="J106" s="7">
        <v>10.14</v>
      </c>
      <c r="K106" s="9">
        <v>18.510000000000002</v>
      </c>
      <c r="L106" s="9">
        <v>19.46</v>
      </c>
      <c r="M106" s="9">
        <v>9.34</v>
      </c>
      <c r="N106" s="9">
        <v>13.39</v>
      </c>
      <c r="O106" s="9">
        <v>21.29</v>
      </c>
      <c r="P106" s="9">
        <v>5.33</v>
      </c>
    </row>
    <row r="107" spans="1:16">
      <c r="A107" t="s">
        <v>72</v>
      </c>
      <c r="B107" s="7"/>
      <c r="C107" s="7"/>
      <c r="D107" s="7"/>
      <c r="E107" s="9"/>
      <c r="F107" s="7"/>
      <c r="G107" s="7"/>
      <c r="H107" s="9"/>
      <c r="I107" s="9"/>
      <c r="J107" s="9"/>
      <c r="K107" s="9"/>
      <c r="L107" s="9"/>
      <c r="M107" s="9"/>
      <c r="N107" s="7"/>
      <c r="O107" s="9"/>
      <c r="P107" s="9"/>
    </row>
    <row r="108" spans="1:16">
      <c r="A108" t="s">
        <v>73</v>
      </c>
      <c r="B108" s="7">
        <v>0.99999928000000005</v>
      </c>
      <c r="C108" s="7">
        <v>0.99999917999999999</v>
      </c>
      <c r="D108" s="9">
        <v>0.99999917999999999</v>
      </c>
      <c r="E108" s="9">
        <v>0.99999916</v>
      </c>
      <c r="F108" s="9">
        <v>0.99999925000000001</v>
      </c>
      <c r="G108" s="9">
        <v>0.99999921999999997</v>
      </c>
      <c r="H108" s="9">
        <v>0.99999941000000003</v>
      </c>
      <c r="I108" s="9">
        <v>0.99999890999999996</v>
      </c>
      <c r="J108" s="9">
        <v>0.99999974999999997</v>
      </c>
      <c r="K108" s="9">
        <v>0.99999952999999997</v>
      </c>
      <c r="L108" s="9">
        <v>0.99999950000000004</v>
      </c>
      <c r="M108" s="9">
        <v>0.99999976999999995</v>
      </c>
      <c r="N108" s="9">
        <v>0.99999967000000001</v>
      </c>
      <c r="O108" s="9">
        <v>0.99999945000000001</v>
      </c>
      <c r="P108" s="9">
        <v>0.99999985999999996</v>
      </c>
    </row>
    <row r="109" spans="1:16">
      <c r="A109" t="s">
        <v>74</v>
      </c>
      <c r="B109" s="7">
        <v>1</v>
      </c>
      <c r="C109" s="7">
        <v>1</v>
      </c>
      <c r="D109" s="9">
        <v>1</v>
      </c>
      <c r="E109" s="9">
        <v>1</v>
      </c>
      <c r="F109" s="9">
        <v>1</v>
      </c>
      <c r="G109" s="9">
        <v>1</v>
      </c>
      <c r="H109" s="9">
        <v>1</v>
      </c>
      <c r="I109" s="9">
        <v>1</v>
      </c>
      <c r="J109" s="9">
        <v>1</v>
      </c>
      <c r="K109" s="9">
        <v>1</v>
      </c>
      <c r="L109" s="9">
        <v>1</v>
      </c>
      <c r="M109" s="9">
        <v>1</v>
      </c>
      <c r="N109" s="9">
        <v>1</v>
      </c>
      <c r="O109" s="9">
        <v>1</v>
      </c>
      <c r="P109" s="9">
        <v>1</v>
      </c>
    </row>
    <row r="110" spans="1:16">
      <c r="A110" t="s">
        <v>75</v>
      </c>
      <c r="B110" s="7">
        <v>37127915</v>
      </c>
      <c r="C110" s="7">
        <v>37127907.5</v>
      </c>
      <c r="D110" s="9">
        <v>37127911.170000002</v>
      </c>
      <c r="E110" s="9">
        <v>37127910.200000003</v>
      </c>
      <c r="F110" s="9">
        <v>37127909.840000004</v>
      </c>
      <c r="G110" s="9">
        <v>37127912.619999997</v>
      </c>
      <c r="H110" s="9">
        <v>37127915.810000002</v>
      </c>
      <c r="I110" s="9">
        <v>37127897.280000001</v>
      </c>
      <c r="J110" s="9">
        <v>37127928.469999999</v>
      </c>
      <c r="K110" s="9">
        <v>37127920.369999997</v>
      </c>
      <c r="L110" s="9">
        <v>37127919.420000002</v>
      </c>
      <c r="M110" s="9">
        <v>37127929.189999998</v>
      </c>
      <c r="N110" s="9">
        <v>37127925.490000002</v>
      </c>
      <c r="O110" s="9">
        <v>37127917.590000004</v>
      </c>
      <c r="P110" s="9">
        <v>37127932.850000001</v>
      </c>
    </row>
    <row r="111" spans="1:16">
      <c r="A111" t="s">
        <v>76</v>
      </c>
      <c r="B111" s="7">
        <v>26.57</v>
      </c>
      <c r="C111" s="7">
        <v>30.37</v>
      </c>
      <c r="D111" s="9">
        <v>30.4</v>
      </c>
      <c r="E111" s="9">
        <v>31.37</v>
      </c>
      <c r="F111" s="9">
        <v>28.03</v>
      </c>
      <c r="G111" s="9">
        <v>28.94</v>
      </c>
      <c r="H111" s="7">
        <v>22.06</v>
      </c>
      <c r="I111" s="9">
        <v>40.590000000000003</v>
      </c>
      <c r="J111" s="9">
        <v>9.4</v>
      </c>
      <c r="K111" s="7">
        <v>17.489999999999998</v>
      </c>
      <c r="L111" s="7">
        <v>18.45</v>
      </c>
      <c r="M111" s="7">
        <v>8.67</v>
      </c>
      <c r="N111" s="7">
        <v>12.37</v>
      </c>
      <c r="O111" s="7">
        <v>20.28</v>
      </c>
      <c r="P111" s="7">
        <v>5.01</v>
      </c>
    </row>
    <row r="112" spans="1:16">
      <c r="A112" t="s">
        <v>126</v>
      </c>
      <c r="B112" s="7"/>
      <c r="C112" s="7"/>
      <c r="D112" s="9"/>
      <c r="E112" s="7"/>
      <c r="F112" s="9"/>
      <c r="G112" s="9"/>
      <c r="H112" s="7"/>
      <c r="I112" s="7"/>
      <c r="J112" s="7"/>
      <c r="K112" s="7"/>
      <c r="L112" s="7"/>
      <c r="M112" s="7"/>
      <c r="N112" s="7"/>
      <c r="O112" s="7"/>
      <c r="P112" s="7"/>
    </row>
    <row r="113" spans="1:16">
      <c r="A113" t="s">
        <v>51</v>
      </c>
      <c r="B113" s="7">
        <v>0.17</v>
      </c>
      <c r="C113" s="7">
        <v>1.17</v>
      </c>
      <c r="D113" s="7">
        <v>0.17</v>
      </c>
      <c r="E113" s="7">
        <v>0.17</v>
      </c>
      <c r="F113" s="7">
        <v>1.17</v>
      </c>
      <c r="G113" s="7">
        <v>0.17</v>
      </c>
      <c r="H113" s="7">
        <v>1.17</v>
      </c>
      <c r="I113" s="7">
        <v>1.17</v>
      </c>
      <c r="J113" s="7">
        <v>1.17</v>
      </c>
      <c r="K113" s="7">
        <v>1.17</v>
      </c>
      <c r="L113" s="7">
        <v>1.17</v>
      </c>
      <c r="M113" s="7">
        <v>1.17</v>
      </c>
      <c r="N113" s="7">
        <v>1.17</v>
      </c>
      <c r="O113" s="7">
        <v>1.17</v>
      </c>
      <c r="P113" s="7">
        <v>1.17</v>
      </c>
    </row>
    <row r="114" spans="1:16">
      <c r="A114" t="s">
        <v>55</v>
      </c>
      <c r="B114" s="7">
        <v>0.17</v>
      </c>
      <c r="C114" s="7">
        <v>1.17</v>
      </c>
      <c r="D114" s="7">
        <v>0.17</v>
      </c>
      <c r="E114" s="7">
        <v>0.17</v>
      </c>
      <c r="F114" s="7">
        <v>1.17</v>
      </c>
      <c r="G114" s="7">
        <v>0.17</v>
      </c>
      <c r="H114" s="7">
        <v>1.17</v>
      </c>
      <c r="I114" s="7">
        <v>1.17</v>
      </c>
      <c r="J114" s="7">
        <v>1.17</v>
      </c>
      <c r="K114" s="7">
        <v>1.17</v>
      </c>
      <c r="L114" s="7">
        <v>1.17</v>
      </c>
      <c r="M114" s="7">
        <v>1.17</v>
      </c>
      <c r="N114" s="7">
        <v>1.17</v>
      </c>
      <c r="O114" s="7">
        <v>1.17</v>
      </c>
      <c r="P114" s="7">
        <v>1.17</v>
      </c>
    </row>
    <row r="115" spans="1:16">
      <c r="A115" t="s">
        <v>53</v>
      </c>
      <c r="B115" s="7">
        <v>0.17</v>
      </c>
      <c r="C115" s="7">
        <v>1.17</v>
      </c>
      <c r="D115" s="7">
        <v>0.17</v>
      </c>
      <c r="E115" s="7">
        <v>0.17</v>
      </c>
      <c r="F115" s="7">
        <v>1.17</v>
      </c>
      <c r="G115" s="7">
        <v>0.17</v>
      </c>
      <c r="H115" s="7">
        <v>1.17</v>
      </c>
      <c r="I115" s="7">
        <v>1.17</v>
      </c>
      <c r="J115" s="7">
        <v>1.17</v>
      </c>
      <c r="K115" s="7">
        <v>1.17</v>
      </c>
      <c r="L115" s="7">
        <v>1.17</v>
      </c>
      <c r="M115" s="7">
        <v>1.17</v>
      </c>
      <c r="N115" s="7">
        <v>1.17</v>
      </c>
      <c r="O115" s="7">
        <v>1.17</v>
      </c>
      <c r="P115" s="7">
        <v>1.17</v>
      </c>
    </row>
    <row r="116" spans="1:16">
      <c r="A116" t="s">
        <v>127</v>
      </c>
      <c r="B116" s="7"/>
      <c r="C116" s="7"/>
      <c r="D116" s="7"/>
      <c r="E116" s="7"/>
      <c r="F116" s="7"/>
      <c r="G116" s="7"/>
      <c r="I116" s="7"/>
      <c r="J116" s="7"/>
    </row>
    <row r="117" spans="1:16">
      <c r="A117" t="s">
        <v>51</v>
      </c>
      <c r="B117" s="7">
        <v>0</v>
      </c>
      <c r="C117" s="7">
        <v>0</v>
      </c>
      <c r="D117" s="7">
        <v>0</v>
      </c>
      <c r="E117" s="7">
        <v>0</v>
      </c>
      <c r="F117" s="7">
        <v>0</v>
      </c>
      <c r="G117" s="7">
        <v>0</v>
      </c>
      <c r="H117" s="7">
        <v>0</v>
      </c>
      <c r="I117" s="7">
        <v>0</v>
      </c>
      <c r="J117" s="7">
        <v>0</v>
      </c>
      <c r="K117" s="7">
        <v>0</v>
      </c>
      <c r="L117" s="7">
        <v>0</v>
      </c>
      <c r="M117" s="7">
        <v>0</v>
      </c>
      <c r="N117" s="7">
        <v>0</v>
      </c>
      <c r="O117" s="7">
        <v>0</v>
      </c>
      <c r="P117">
        <v>0</v>
      </c>
    </row>
    <row r="118" spans="1:16">
      <c r="A118" t="s">
        <v>55</v>
      </c>
      <c r="B118" s="7">
        <v>0</v>
      </c>
      <c r="C118" s="7">
        <v>0</v>
      </c>
      <c r="D118" s="7">
        <v>1</v>
      </c>
      <c r="E118" s="7">
        <v>1</v>
      </c>
      <c r="F118" s="7">
        <v>1</v>
      </c>
      <c r="G118" s="7">
        <v>1</v>
      </c>
      <c r="H118" s="7">
        <v>1</v>
      </c>
      <c r="I118" s="7">
        <v>1</v>
      </c>
      <c r="J118" s="7">
        <v>1</v>
      </c>
      <c r="K118" s="7">
        <v>1</v>
      </c>
      <c r="L118" s="7">
        <v>1</v>
      </c>
      <c r="M118" s="7">
        <v>1</v>
      </c>
      <c r="N118" s="7">
        <v>1</v>
      </c>
      <c r="O118" s="7">
        <v>1</v>
      </c>
      <c r="P118">
        <v>1</v>
      </c>
    </row>
    <row r="119" spans="1:16">
      <c r="A119" t="s">
        <v>53</v>
      </c>
      <c r="B119" s="7">
        <v>0</v>
      </c>
      <c r="C119" s="9">
        <v>0</v>
      </c>
      <c r="D119" s="9">
        <v>0.16259999999999999</v>
      </c>
      <c r="E119" s="9">
        <v>0.21510000000000001</v>
      </c>
      <c r="F119" s="9">
        <v>0.38529999999999998</v>
      </c>
      <c r="G119" s="9">
        <v>0.27429999999999999</v>
      </c>
      <c r="H119" s="9">
        <v>0.27429999999999999</v>
      </c>
      <c r="I119" s="9">
        <v>0.43240000000000001</v>
      </c>
      <c r="J119" s="9">
        <v>0.43190000000000001</v>
      </c>
      <c r="K119" s="9">
        <v>0.74680000000000002</v>
      </c>
      <c r="L119" s="9">
        <v>0.76780000000000004</v>
      </c>
      <c r="M119" s="9">
        <v>0.76439999999999997</v>
      </c>
      <c r="N119" s="9">
        <v>0.78490000000000004</v>
      </c>
      <c r="O119" s="9">
        <v>0.79710000000000003</v>
      </c>
      <c r="P119">
        <v>0.79210000000000003</v>
      </c>
    </row>
    <row r="120" spans="1:16">
      <c r="A120" t="s">
        <v>128</v>
      </c>
    </row>
    <row r="121" spans="1:16">
      <c r="A121" t="s">
        <v>129</v>
      </c>
      <c r="B121" s="7">
        <v>0</v>
      </c>
      <c r="C121" s="7">
        <v>0</v>
      </c>
      <c r="D121" s="7">
        <v>0</v>
      </c>
      <c r="E121" s="7">
        <v>0</v>
      </c>
      <c r="F121" s="7">
        <v>0</v>
      </c>
      <c r="G121" s="7">
        <v>0</v>
      </c>
      <c r="H121" s="7">
        <v>0</v>
      </c>
      <c r="I121" s="7">
        <v>0</v>
      </c>
      <c r="J121" s="7">
        <v>0</v>
      </c>
      <c r="K121" s="7">
        <v>0</v>
      </c>
      <c r="L121" s="7">
        <v>0</v>
      </c>
      <c r="M121" s="7">
        <v>0</v>
      </c>
      <c r="N121" s="7">
        <v>0</v>
      </c>
      <c r="O121" s="7">
        <v>0</v>
      </c>
      <c r="P121">
        <v>0</v>
      </c>
    </row>
    <row r="122" spans="1:16">
      <c r="A122" t="s">
        <v>130</v>
      </c>
      <c r="B122" s="7">
        <v>0</v>
      </c>
      <c r="C122" s="9">
        <v>0</v>
      </c>
      <c r="D122" s="9">
        <v>0.50900000000000001</v>
      </c>
      <c r="E122" s="9">
        <v>0.50900000000000001</v>
      </c>
      <c r="F122" s="9">
        <v>4.4699999999999997E-2</v>
      </c>
      <c r="G122" s="9">
        <v>0.50900000000000001</v>
      </c>
      <c r="H122" s="9">
        <v>0.50900000000000001</v>
      </c>
      <c r="I122" s="9">
        <v>3.5799999999999998E-2</v>
      </c>
      <c r="J122" s="9">
        <v>3.4599999999999999E-2</v>
      </c>
      <c r="K122" s="9">
        <v>4.4699999999999997E-2</v>
      </c>
      <c r="L122" s="9">
        <v>4.2999999999999997E-2</v>
      </c>
      <c r="M122" s="9">
        <v>4.6199999999999998E-2</v>
      </c>
      <c r="N122" s="9">
        <v>3.9800000000000002E-2</v>
      </c>
      <c r="O122" s="9">
        <v>3.9300000000000002E-2</v>
      </c>
      <c r="P122">
        <v>4.7199999999999999E-2</v>
      </c>
    </row>
    <row r="123" spans="1:16">
      <c r="A123" t="s">
        <v>131</v>
      </c>
      <c r="B123" s="7">
        <v>0</v>
      </c>
      <c r="C123" s="9">
        <v>0</v>
      </c>
      <c r="D123" s="9">
        <v>0.26329999999999998</v>
      </c>
      <c r="E123" s="9">
        <v>0.2117</v>
      </c>
      <c r="F123" s="9">
        <v>0.38169999999999998</v>
      </c>
      <c r="G123" s="9">
        <v>0.16209999999999999</v>
      </c>
      <c r="H123" s="7">
        <v>0.16209999999999999</v>
      </c>
      <c r="I123" s="9">
        <v>0.36320000000000002</v>
      </c>
      <c r="J123" s="9">
        <v>0.36570000000000003</v>
      </c>
      <c r="K123" s="9">
        <v>0.12470000000000001</v>
      </c>
      <c r="L123" s="9">
        <v>0.10970000000000001</v>
      </c>
      <c r="M123" s="9">
        <v>0.11020000000000001</v>
      </c>
      <c r="N123" s="9">
        <v>0.1004</v>
      </c>
      <c r="O123" s="9">
        <v>9.5799999999999996E-2</v>
      </c>
      <c r="P123">
        <v>9.3799999999999994E-2</v>
      </c>
    </row>
    <row r="124" spans="1:16">
      <c r="A124" t="s">
        <v>132</v>
      </c>
      <c r="B124" s="7">
        <v>0</v>
      </c>
      <c r="C124" s="9">
        <v>0</v>
      </c>
      <c r="D124" s="9">
        <v>9.1800000000000007E-2</v>
      </c>
      <c r="E124" s="7">
        <v>8.6900000000000005E-2</v>
      </c>
      <c r="F124" s="9">
        <v>0.30099999999999999</v>
      </c>
      <c r="G124" s="9">
        <v>7.3899999999999993E-2</v>
      </c>
      <c r="H124" s="7">
        <v>7.3899999999999993E-2</v>
      </c>
      <c r="I124" s="7">
        <v>0.27239999999999998</v>
      </c>
      <c r="J124" s="9">
        <v>0.27189999999999998</v>
      </c>
      <c r="K124" s="7">
        <v>7.6999999999999999E-2</v>
      </c>
      <c r="L124" s="9">
        <v>7.0300000000000001E-2</v>
      </c>
      <c r="M124" s="9">
        <v>7.0400000000000004E-2</v>
      </c>
      <c r="N124" s="9">
        <v>6.59E-2</v>
      </c>
      <c r="O124" s="9">
        <v>5.8500000000000003E-2</v>
      </c>
      <c r="P124">
        <v>5.7500000000000002E-2</v>
      </c>
    </row>
    <row r="125" spans="1:16">
      <c r="A125" t="s">
        <v>133</v>
      </c>
      <c r="B125" s="9">
        <v>0</v>
      </c>
      <c r="C125" s="9">
        <v>0</v>
      </c>
      <c r="D125" s="9">
        <v>6.3700000000000007E-2</v>
      </c>
      <c r="E125" s="7">
        <v>5.6399999999999999E-2</v>
      </c>
      <c r="F125" s="7">
        <v>8.7999999999999995E-2</v>
      </c>
      <c r="G125" s="7">
        <v>4.99E-2</v>
      </c>
      <c r="H125" s="7">
        <v>4.99E-2</v>
      </c>
      <c r="I125" s="7">
        <v>8.0699999999999994E-2</v>
      </c>
      <c r="J125" s="7">
        <v>8.0199999999999994E-2</v>
      </c>
      <c r="K125" s="7">
        <v>8.9300000000000004E-2</v>
      </c>
      <c r="L125" s="7">
        <v>8.77E-2</v>
      </c>
      <c r="M125" s="7">
        <v>8.6999999999999994E-2</v>
      </c>
      <c r="N125" s="7">
        <v>8.1199999999999994E-2</v>
      </c>
      <c r="O125" s="7">
        <v>7.6700000000000004E-2</v>
      </c>
      <c r="P125" s="7">
        <v>7.5700000000000003E-2</v>
      </c>
    </row>
    <row r="126" spans="1:16">
      <c r="A126" t="s">
        <v>134</v>
      </c>
      <c r="B126" s="9">
        <v>0</v>
      </c>
      <c r="C126" s="7">
        <v>0</v>
      </c>
      <c r="D126" s="7">
        <v>7.22E-2</v>
      </c>
      <c r="E126" s="9">
        <v>0.13589999999999999</v>
      </c>
      <c r="F126" s="7">
        <v>0.18459999999999999</v>
      </c>
      <c r="G126" s="7">
        <v>0.2051</v>
      </c>
      <c r="H126" s="7">
        <v>0.2051</v>
      </c>
      <c r="I126" s="7">
        <v>0.24790000000000001</v>
      </c>
      <c r="J126" s="7">
        <v>0.24759999999999999</v>
      </c>
      <c r="K126" s="7">
        <v>0.66420000000000001</v>
      </c>
      <c r="L126" s="7">
        <v>0.68940000000000001</v>
      </c>
      <c r="M126" s="7">
        <v>0.68620000000000003</v>
      </c>
      <c r="N126" s="7">
        <v>0.71260000000000001</v>
      </c>
      <c r="O126" s="7">
        <v>0.72970000000000002</v>
      </c>
      <c r="P126" s="7">
        <v>0.7258</v>
      </c>
    </row>
    <row r="127" spans="1:16">
      <c r="A127" t="s">
        <v>135</v>
      </c>
      <c r="B127" s="7">
        <v>0</v>
      </c>
      <c r="C127" s="9">
        <v>0</v>
      </c>
      <c r="D127" s="9">
        <v>0</v>
      </c>
      <c r="E127" s="7">
        <v>0</v>
      </c>
      <c r="F127" s="7">
        <v>0</v>
      </c>
      <c r="G127" s="7">
        <v>0</v>
      </c>
      <c r="H127" s="9">
        <v>0</v>
      </c>
      <c r="I127" s="7">
        <v>0</v>
      </c>
      <c r="J127" s="7">
        <v>0</v>
      </c>
      <c r="K127" s="9">
        <v>0</v>
      </c>
      <c r="L127" s="9">
        <v>0</v>
      </c>
      <c r="M127" s="9">
        <v>0</v>
      </c>
      <c r="N127" s="9">
        <v>0</v>
      </c>
      <c r="O127" s="9">
        <v>0</v>
      </c>
      <c r="P127" s="9">
        <v>0</v>
      </c>
    </row>
    <row r="128" spans="1:16">
      <c r="A128" t="s">
        <v>136</v>
      </c>
      <c r="B128" s="9">
        <v>0</v>
      </c>
      <c r="C128" s="9">
        <v>0</v>
      </c>
      <c r="D128" s="7">
        <v>0</v>
      </c>
      <c r="E128" s="9">
        <v>0</v>
      </c>
      <c r="F128" s="7">
        <v>0</v>
      </c>
      <c r="G128" s="7">
        <v>0</v>
      </c>
      <c r="H128" s="9">
        <v>0</v>
      </c>
      <c r="I128" s="9">
        <v>0</v>
      </c>
      <c r="J128" s="9">
        <v>0</v>
      </c>
      <c r="K128" s="7">
        <v>0</v>
      </c>
      <c r="L128" s="7">
        <v>0</v>
      </c>
      <c r="M128" s="7">
        <v>0</v>
      </c>
      <c r="N128" s="7">
        <v>0</v>
      </c>
      <c r="O128" s="7">
        <v>0</v>
      </c>
      <c r="P128">
        <v>0</v>
      </c>
    </row>
    <row r="129" spans="1:16">
      <c r="A129" t="s">
        <v>137</v>
      </c>
      <c r="B129" s="9">
        <v>0</v>
      </c>
      <c r="C129" s="7">
        <v>0</v>
      </c>
      <c r="D129" s="9">
        <v>0</v>
      </c>
      <c r="E129" s="7">
        <v>0</v>
      </c>
      <c r="F129" s="9">
        <v>0</v>
      </c>
      <c r="G129" s="9">
        <v>0</v>
      </c>
      <c r="H129" s="7">
        <v>0</v>
      </c>
      <c r="I129" s="7">
        <v>0</v>
      </c>
      <c r="J129" s="7">
        <v>0</v>
      </c>
      <c r="K129" s="7">
        <v>0</v>
      </c>
      <c r="L129" s="7">
        <v>0</v>
      </c>
      <c r="M129" s="7">
        <v>0</v>
      </c>
      <c r="N129" s="7">
        <v>0</v>
      </c>
      <c r="O129" s="7">
        <v>0</v>
      </c>
      <c r="P129" s="7">
        <v>0</v>
      </c>
    </row>
    <row r="130" spans="1:16">
      <c r="A130" t="s">
        <v>138</v>
      </c>
      <c r="B130" s="7">
        <v>0</v>
      </c>
      <c r="C130" s="9">
        <v>0</v>
      </c>
      <c r="D130" s="7">
        <v>0</v>
      </c>
      <c r="E130" s="7">
        <v>0</v>
      </c>
      <c r="F130" s="7">
        <v>0</v>
      </c>
      <c r="G130" s="9">
        <v>0</v>
      </c>
      <c r="H130" s="7">
        <v>0</v>
      </c>
      <c r="I130" s="7">
        <v>0</v>
      </c>
      <c r="J130" s="7">
        <v>0</v>
      </c>
      <c r="K130" s="9">
        <v>0</v>
      </c>
      <c r="L130" s="9">
        <v>0</v>
      </c>
      <c r="M130" s="9">
        <v>0</v>
      </c>
      <c r="N130" s="9">
        <v>0</v>
      </c>
      <c r="O130" s="9">
        <v>0</v>
      </c>
      <c r="P130" s="9">
        <v>0</v>
      </c>
    </row>
    <row r="131" spans="1:16">
      <c r="A131" t="s">
        <v>139</v>
      </c>
      <c r="B131" s="9">
        <v>0</v>
      </c>
      <c r="C131" s="9">
        <v>0</v>
      </c>
      <c r="D131" s="7">
        <v>0</v>
      </c>
      <c r="E131" s="7">
        <v>0</v>
      </c>
      <c r="F131" s="7">
        <v>0</v>
      </c>
      <c r="G131" s="7">
        <v>0</v>
      </c>
      <c r="H131" s="7">
        <v>0</v>
      </c>
      <c r="I131" s="7">
        <v>0</v>
      </c>
      <c r="J131" s="9">
        <v>0</v>
      </c>
      <c r="K131" s="7">
        <v>0</v>
      </c>
      <c r="L131" s="7">
        <v>0</v>
      </c>
      <c r="M131" s="7">
        <v>0</v>
      </c>
      <c r="N131" s="7">
        <v>0</v>
      </c>
      <c r="O131" s="7">
        <v>0</v>
      </c>
      <c r="P131" s="7">
        <v>0</v>
      </c>
    </row>
    <row r="132" spans="1:16">
      <c r="A132" t="s">
        <v>140</v>
      </c>
      <c r="B132" s="9"/>
      <c r="C132" s="7"/>
      <c r="D132" s="7"/>
      <c r="E132" s="7"/>
      <c r="F132" s="7"/>
      <c r="G132" s="7"/>
      <c r="H132" s="9"/>
      <c r="I132" s="7"/>
      <c r="J132" s="7"/>
      <c r="K132" s="9"/>
      <c r="L132" s="7"/>
      <c r="M132" s="9"/>
      <c r="N132" s="9"/>
      <c r="O132" s="9"/>
      <c r="P132" s="9"/>
    </row>
    <row r="133" spans="1:16">
      <c r="A133" t="s">
        <v>51</v>
      </c>
      <c r="B133" s="5">
        <v>2765970</v>
      </c>
      <c r="C133" s="5">
        <v>2765970</v>
      </c>
      <c r="D133" s="5">
        <v>2468130.0000000005</v>
      </c>
      <c r="E133" s="5">
        <v>2349869.9999999995</v>
      </c>
      <c r="F133" s="5">
        <v>1933770</v>
      </c>
      <c r="G133" s="5">
        <v>2209710</v>
      </c>
      <c r="H133" s="5">
        <v>2207520</v>
      </c>
      <c r="I133" s="5">
        <v>1815509.9999999998</v>
      </c>
      <c r="J133" s="5">
        <v>1815509.9999999998</v>
      </c>
      <c r="K133" s="5">
        <v>838770.00000000012</v>
      </c>
      <c r="L133" s="5">
        <v>786210</v>
      </c>
      <c r="M133" s="5">
        <v>797160</v>
      </c>
      <c r="N133" s="5">
        <v>742410</v>
      </c>
      <c r="O133" s="5">
        <v>707370</v>
      </c>
      <c r="P133" s="5">
        <v>724890</v>
      </c>
    </row>
    <row r="134" spans="1:16">
      <c r="A134" t="s">
        <v>55</v>
      </c>
      <c r="B134" s="5">
        <v>2765970</v>
      </c>
      <c r="C134" s="5">
        <v>2765970</v>
      </c>
      <c r="D134" s="5">
        <v>2468130.0000000005</v>
      </c>
      <c r="E134" s="5">
        <v>2349869.9999999995</v>
      </c>
      <c r="F134" s="5">
        <v>1933770</v>
      </c>
      <c r="G134" s="5">
        <v>2209710</v>
      </c>
      <c r="H134" s="5">
        <v>2207520</v>
      </c>
      <c r="I134" s="5">
        <v>1815509.9999999998</v>
      </c>
      <c r="J134" s="5">
        <v>1815509.9999999998</v>
      </c>
      <c r="K134" s="5">
        <v>838770.00000000012</v>
      </c>
      <c r="L134" s="5">
        <v>786210</v>
      </c>
      <c r="M134" s="5">
        <v>797160</v>
      </c>
      <c r="N134" s="5">
        <v>742410</v>
      </c>
      <c r="O134" s="5">
        <v>707370</v>
      </c>
      <c r="P134" s="5">
        <v>724890</v>
      </c>
    </row>
    <row r="135" spans="1:16">
      <c r="A135" t="s">
        <v>53</v>
      </c>
      <c r="B135" s="5">
        <v>2765970</v>
      </c>
      <c r="C135" s="5">
        <v>2765970</v>
      </c>
      <c r="D135" s="5">
        <v>2468130.0000000005</v>
      </c>
      <c r="E135" s="5">
        <v>2349869.9999999995</v>
      </c>
      <c r="F135" s="5">
        <v>1933770</v>
      </c>
      <c r="G135" s="5">
        <v>2209710</v>
      </c>
      <c r="H135" s="5">
        <v>2207520</v>
      </c>
      <c r="I135" s="5">
        <v>1815509.9999999998</v>
      </c>
      <c r="J135" s="5">
        <v>1815509.9999999998</v>
      </c>
      <c r="K135" s="5">
        <v>838770.00000000012</v>
      </c>
      <c r="L135" s="5">
        <v>786210</v>
      </c>
      <c r="M135" s="5">
        <v>797160</v>
      </c>
      <c r="N135" s="5">
        <v>742410</v>
      </c>
      <c r="O135" s="5">
        <v>707370</v>
      </c>
      <c r="P135" s="5">
        <v>724890</v>
      </c>
    </row>
    <row r="136" spans="1:16">
      <c r="A136" t="s">
        <v>141</v>
      </c>
      <c r="B136" s="9"/>
      <c r="C136" s="9"/>
      <c r="D136" s="9"/>
      <c r="E136" s="9"/>
      <c r="F136" s="9"/>
      <c r="G136" s="9"/>
      <c r="H136" s="9"/>
      <c r="I136" s="9"/>
      <c r="J136" s="9"/>
      <c r="K136" s="9"/>
      <c r="L136" s="9"/>
      <c r="M136" s="9"/>
      <c r="N136" s="9"/>
      <c r="O136" s="9"/>
      <c r="P136" s="9"/>
    </row>
    <row r="137" spans="1:16">
      <c r="A137" t="s">
        <v>51</v>
      </c>
      <c r="B137" s="9" t="s">
        <v>142</v>
      </c>
      <c r="C137" s="9" t="s">
        <v>142</v>
      </c>
      <c r="D137" s="9" t="s">
        <v>142</v>
      </c>
      <c r="E137" s="9" t="s">
        <v>142</v>
      </c>
      <c r="F137" s="9" t="s">
        <v>142</v>
      </c>
      <c r="G137" s="9" t="s">
        <v>142</v>
      </c>
      <c r="H137" s="9" t="s">
        <v>142</v>
      </c>
      <c r="I137" s="9" t="s">
        <v>142</v>
      </c>
      <c r="J137" s="9" t="s">
        <v>142</v>
      </c>
      <c r="K137" s="9" t="s">
        <v>142</v>
      </c>
      <c r="L137" s="9" t="s">
        <v>142</v>
      </c>
      <c r="M137" s="9" t="s">
        <v>142</v>
      </c>
      <c r="N137" s="9" t="s">
        <v>142</v>
      </c>
      <c r="O137" s="9" t="s">
        <v>142</v>
      </c>
      <c r="P137" s="9" t="s">
        <v>142</v>
      </c>
    </row>
    <row r="138" spans="1:16">
      <c r="A138" t="s">
        <v>55</v>
      </c>
      <c r="B138" s="9" t="s">
        <v>142</v>
      </c>
      <c r="C138" s="9" t="s">
        <v>142</v>
      </c>
      <c r="D138" s="9" t="s">
        <v>142</v>
      </c>
      <c r="E138" s="9" t="s">
        <v>142</v>
      </c>
      <c r="F138" s="9" t="s">
        <v>142</v>
      </c>
      <c r="G138" s="9" t="s">
        <v>142</v>
      </c>
      <c r="H138" s="9" t="s">
        <v>142</v>
      </c>
      <c r="I138" s="9" t="s">
        <v>142</v>
      </c>
      <c r="J138" s="9" t="s">
        <v>142</v>
      </c>
      <c r="K138" s="9" t="s">
        <v>142</v>
      </c>
      <c r="L138" s="9" t="s">
        <v>142</v>
      </c>
      <c r="M138" s="9" t="s">
        <v>142</v>
      </c>
      <c r="N138" s="9" t="s">
        <v>142</v>
      </c>
      <c r="O138" s="9" t="s">
        <v>142</v>
      </c>
      <c r="P138" s="9" t="s">
        <v>142</v>
      </c>
    </row>
    <row r="139" spans="1:16">
      <c r="A139" t="s">
        <v>53</v>
      </c>
      <c r="B139" s="9" t="s">
        <v>142</v>
      </c>
      <c r="C139" s="9" t="s">
        <v>142</v>
      </c>
      <c r="D139" s="9" t="s">
        <v>142</v>
      </c>
      <c r="E139" s="9" t="s">
        <v>142</v>
      </c>
      <c r="F139" s="9" t="s">
        <v>142</v>
      </c>
      <c r="G139" s="9" t="s">
        <v>142</v>
      </c>
      <c r="H139" s="9" t="s">
        <v>142</v>
      </c>
      <c r="I139" s="9" t="s">
        <v>142</v>
      </c>
      <c r="J139" s="9" t="s">
        <v>142</v>
      </c>
      <c r="K139" s="9" t="s">
        <v>142</v>
      </c>
      <c r="L139" s="9" t="s">
        <v>142</v>
      </c>
      <c r="M139" s="9" t="s">
        <v>142</v>
      </c>
      <c r="N139" s="9" t="s">
        <v>142</v>
      </c>
      <c r="O139" s="9" t="s">
        <v>142</v>
      </c>
      <c r="P139" s="9" t="s">
        <v>142</v>
      </c>
    </row>
    <row r="140" spans="1:16">
      <c r="A140" t="s">
        <v>143</v>
      </c>
      <c r="B140" s="9"/>
      <c r="C140" s="9"/>
      <c r="D140" s="9"/>
      <c r="E140" s="9"/>
      <c r="F140" s="9"/>
      <c r="G140" s="9"/>
      <c r="H140" s="9"/>
      <c r="I140" s="9"/>
      <c r="J140" s="9"/>
      <c r="K140" s="9"/>
      <c r="L140" s="7"/>
      <c r="M140" s="9"/>
      <c r="N140" s="9"/>
      <c r="O140" s="9"/>
      <c r="P140" s="9"/>
    </row>
    <row r="141" spans="1:16">
      <c r="A141" t="s">
        <v>51</v>
      </c>
      <c r="B141" s="9">
        <v>2.2599999999999999E-2</v>
      </c>
      <c r="C141" s="9">
        <v>2.2599999999999999E-2</v>
      </c>
      <c r="D141" s="9">
        <v>0</v>
      </c>
      <c r="E141" s="9">
        <v>0</v>
      </c>
      <c r="F141" s="9">
        <v>0</v>
      </c>
      <c r="G141" s="9">
        <v>0</v>
      </c>
      <c r="H141" s="7">
        <v>0</v>
      </c>
      <c r="I141" s="9">
        <v>0</v>
      </c>
      <c r="J141" s="9">
        <v>0</v>
      </c>
      <c r="K141" s="7">
        <v>0</v>
      </c>
      <c r="L141" s="7">
        <v>0</v>
      </c>
      <c r="M141" s="7">
        <v>0</v>
      </c>
      <c r="N141" s="7">
        <v>0</v>
      </c>
      <c r="O141" s="7">
        <v>0</v>
      </c>
      <c r="P141" s="7">
        <v>0</v>
      </c>
    </row>
    <row r="142" spans="1:16">
      <c r="A142" t="s">
        <v>55</v>
      </c>
      <c r="B142" s="9">
        <v>1</v>
      </c>
      <c r="C142" s="9">
        <v>1</v>
      </c>
      <c r="D142" s="9">
        <v>1</v>
      </c>
      <c r="E142" s="9">
        <v>1</v>
      </c>
      <c r="F142" s="9">
        <v>1</v>
      </c>
      <c r="G142" s="9">
        <v>1</v>
      </c>
      <c r="H142" s="7">
        <v>1</v>
      </c>
      <c r="I142" s="9">
        <v>1</v>
      </c>
      <c r="J142" s="9">
        <v>1</v>
      </c>
      <c r="K142" s="7">
        <v>1</v>
      </c>
      <c r="L142" s="7">
        <v>1</v>
      </c>
      <c r="M142" s="7">
        <v>1</v>
      </c>
      <c r="N142" s="7">
        <v>1</v>
      </c>
      <c r="O142" s="7">
        <v>1</v>
      </c>
      <c r="P142" s="7">
        <v>1</v>
      </c>
    </row>
    <row r="143" spans="1:16">
      <c r="A143" t="s">
        <v>53</v>
      </c>
      <c r="B143" s="9">
        <v>0.4103</v>
      </c>
      <c r="C143" s="9">
        <v>0.41</v>
      </c>
      <c r="D143" s="9">
        <v>0.4884</v>
      </c>
      <c r="E143" s="9">
        <v>0.51859999999999995</v>
      </c>
      <c r="F143" s="9">
        <v>0.61009999999999998</v>
      </c>
      <c r="G143" s="9">
        <v>0.55330000000000001</v>
      </c>
      <c r="H143" s="9">
        <v>0.55279999999999996</v>
      </c>
      <c r="I143" s="9">
        <v>0.63870000000000005</v>
      </c>
      <c r="J143" s="9">
        <v>0.63819999999999999</v>
      </c>
      <c r="K143" s="9">
        <v>0.84499999999999997</v>
      </c>
      <c r="L143" s="7">
        <v>0.85709999999999997</v>
      </c>
      <c r="M143" s="7">
        <v>0.85419999999999996</v>
      </c>
      <c r="N143" s="7">
        <v>0.86639999999999995</v>
      </c>
      <c r="O143" s="7">
        <v>0.87290000000000001</v>
      </c>
      <c r="P143" s="7">
        <v>0.87019999999999997</v>
      </c>
    </row>
    <row r="144" spans="1:16">
      <c r="A144" t="s">
        <v>128</v>
      </c>
      <c r="B144" s="9"/>
      <c r="C144" s="6"/>
      <c r="D144" s="6"/>
      <c r="E144" s="9"/>
      <c r="F144" s="6"/>
      <c r="G144" s="6"/>
      <c r="H144" s="7"/>
      <c r="I144" s="9"/>
      <c r="J144" s="9"/>
      <c r="K144" s="7"/>
      <c r="L144" s="7"/>
      <c r="M144" s="7"/>
      <c r="N144" s="7"/>
      <c r="O144" s="7"/>
      <c r="P144" s="7"/>
    </row>
    <row r="145" spans="1:23">
      <c r="A145" t="s">
        <v>129</v>
      </c>
      <c r="B145" s="7">
        <v>0</v>
      </c>
      <c r="C145" s="9">
        <v>0</v>
      </c>
      <c r="D145" s="9">
        <v>0</v>
      </c>
      <c r="E145" s="9">
        <v>0</v>
      </c>
      <c r="F145" s="9">
        <v>0</v>
      </c>
      <c r="G145" s="9">
        <v>0</v>
      </c>
      <c r="H145" s="7">
        <v>0</v>
      </c>
      <c r="I145" s="9">
        <v>0</v>
      </c>
      <c r="J145" s="9">
        <v>0</v>
      </c>
      <c r="K145" s="7">
        <v>0</v>
      </c>
      <c r="L145" s="7">
        <v>0</v>
      </c>
      <c r="M145" s="7">
        <v>0</v>
      </c>
      <c r="N145" s="7">
        <v>0</v>
      </c>
      <c r="O145" s="7">
        <v>0</v>
      </c>
      <c r="P145" s="7">
        <v>0</v>
      </c>
    </row>
    <row r="146" spans="1:23">
      <c r="A146" t="s">
        <v>130</v>
      </c>
      <c r="B146" s="9">
        <v>0</v>
      </c>
      <c r="C146" s="9">
        <v>0</v>
      </c>
      <c r="D146" s="9">
        <v>0</v>
      </c>
      <c r="E146" s="7">
        <v>0</v>
      </c>
      <c r="F146" s="9">
        <v>0</v>
      </c>
      <c r="G146" s="9">
        <v>1E-4</v>
      </c>
      <c r="H146" s="9">
        <v>1E-4</v>
      </c>
      <c r="I146" s="7">
        <v>2.9999999999999997E-4</v>
      </c>
      <c r="J146" s="7">
        <v>2.0000000000000001E-4</v>
      </c>
      <c r="K146" s="9">
        <v>2.9999999999999997E-4</v>
      </c>
      <c r="L146" s="9">
        <v>4.0000000000000002E-4</v>
      </c>
      <c r="M146" s="9">
        <v>6.9999999999999999E-4</v>
      </c>
      <c r="N146" s="9">
        <v>5.0000000000000001E-4</v>
      </c>
      <c r="O146" s="9">
        <v>6.9999999999999999E-4</v>
      </c>
      <c r="P146">
        <v>5.9999999999999995E-4</v>
      </c>
    </row>
    <row r="147" spans="1:23">
      <c r="A147" t="s">
        <v>144</v>
      </c>
      <c r="B147" s="9">
        <v>1E-4</v>
      </c>
      <c r="C147" s="9">
        <v>1E-4</v>
      </c>
      <c r="D147" s="7">
        <v>1E-4</v>
      </c>
      <c r="E147" s="37">
        <v>1E-4</v>
      </c>
      <c r="F147" s="7">
        <v>0</v>
      </c>
      <c r="G147" s="7">
        <v>1E-4</v>
      </c>
      <c r="H147" s="37">
        <v>1E-4</v>
      </c>
      <c r="I147" s="37">
        <v>0</v>
      </c>
      <c r="J147" s="37">
        <v>0</v>
      </c>
      <c r="K147" s="37">
        <v>0</v>
      </c>
      <c r="L147" s="7">
        <v>0</v>
      </c>
      <c r="M147" s="7">
        <v>0</v>
      </c>
      <c r="N147" s="7">
        <v>0</v>
      </c>
      <c r="O147" s="7">
        <v>0</v>
      </c>
      <c r="P147">
        <v>0</v>
      </c>
    </row>
    <row r="148" spans="1:23">
      <c r="A148" t="s">
        <v>145</v>
      </c>
      <c r="B148" s="9">
        <v>5.9999999999999995E-4</v>
      </c>
      <c r="C148" s="36">
        <v>5.9999999999999995E-4</v>
      </c>
      <c r="D148" s="36">
        <v>2.9999999999999997E-4</v>
      </c>
      <c r="E148" s="7">
        <v>2.9999999999999997E-4</v>
      </c>
      <c r="F148" s="36">
        <v>1E-4</v>
      </c>
      <c r="G148" s="36">
        <v>2.9999999999999997E-4</v>
      </c>
      <c r="H148" s="7">
        <v>2.9999999999999997E-4</v>
      </c>
      <c r="I148" s="7">
        <v>1E-4</v>
      </c>
      <c r="J148" s="7">
        <v>1E-4</v>
      </c>
      <c r="K148" s="7">
        <v>0</v>
      </c>
      <c r="L148" s="7">
        <v>0</v>
      </c>
      <c r="M148" s="7">
        <v>0</v>
      </c>
      <c r="N148" s="7">
        <v>0</v>
      </c>
      <c r="O148" s="7">
        <v>0</v>
      </c>
      <c r="P148">
        <v>0</v>
      </c>
    </row>
    <row r="149" spans="1:23">
      <c r="A149" t="s">
        <v>146</v>
      </c>
      <c r="B149" s="36">
        <v>2.8999999999999998E-3</v>
      </c>
      <c r="C149" s="7">
        <v>2.8999999999999998E-3</v>
      </c>
      <c r="D149" s="7">
        <v>2.2000000000000001E-3</v>
      </c>
      <c r="E149" s="7">
        <v>2.0999999999999999E-3</v>
      </c>
      <c r="F149" s="7">
        <v>5.0000000000000001E-4</v>
      </c>
      <c r="G149" s="7">
        <v>1.9E-3</v>
      </c>
      <c r="H149" s="7">
        <v>1.9E-3</v>
      </c>
      <c r="I149" s="7">
        <v>5.0000000000000001E-4</v>
      </c>
      <c r="J149" s="7">
        <v>4.0000000000000002E-4</v>
      </c>
      <c r="K149" s="7">
        <v>1E-4</v>
      </c>
      <c r="L149" s="7">
        <v>1E-4</v>
      </c>
      <c r="M149" s="9">
        <v>1E-4</v>
      </c>
      <c r="N149" s="9">
        <v>1E-4</v>
      </c>
      <c r="O149" s="9">
        <v>1E-4</v>
      </c>
      <c r="P149">
        <v>2.0000000000000001E-4</v>
      </c>
    </row>
    <row r="150" spans="1:23">
      <c r="A150" t="s">
        <v>147</v>
      </c>
      <c r="B150" s="7">
        <v>2.2100000000000002E-2</v>
      </c>
      <c r="C150" s="7">
        <v>2.1999999999999999E-2</v>
      </c>
      <c r="D150" s="7">
        <v>1.9800000000000002E-2</v>
      </c>
      <c r="E150" s="9">
        <v>1.9199999999999998E-2</v>
      </c>
      <c r="F150" s="7">
        <v>5.1999999999999998E-3</v>
      </c>
      <c r="G150" s="7">
        <v>1.83E-2</v>
      </c>
      <c r="H150" s="9">
        <v>1.8499999999999999E-2</v>
      </c>
      <c r="I150" s="9">
        <v>4.7999999999999996E-3</v>
      </c>
      <c r="J150" s="9">
        <v>4.7999999999999996E-3</v>
      </c>
      <c r="K150" s="9">
        <v>2.2000000000000001E-3</v>
      </c>
      <c r="L150" s="9">
        <v>2.2000000000000001E-3</v>
      </c>
      <c r="M150" s="9">
        <v>2.3999999999999998E-3</v>
      </c>
      <c r="N150" s="9">
        <v>2E-3</v>
      </c>
      <c r="O150" s="9">
        <v>2.0999999999999999E-3</v>
      </c>
      <c r="P150" s="9">
        <v>2.3999999999999998E-3</v>
      </c>
    </row>
    <row r="151" spans="1:23">
      <c r="A151" s="8" t="s">
        <v>131</v>
      </c>
      <c r="B151" s="7">
        <v>5.0099999999999999E-2</v>
      </c>
      <c r="C151" s="9">
        <v>5.0099999999999999E-2</v>
      </c>
      <c r="D151" s="9">
        <v>4.5199999999999997E-2</v>
      </c>
      <c r="E151" s="15">
        <v>4.3299999999999998E-2</v>
      </c>
      <c r="F151" s="9">
        <v>1.49E-2</v>
      </c>
      <c r="G151" s="9">
        <v>4.1200000000000001E-2</v>
      </c>
      <c r="H151" s="15">
        <v>4.1700000000000001E-2</v>
      </c>
      <c r="I151" s="15">
        <v>1.4200000000000001E-2</v>
      </c>
      <c r="J151" s="15">
        <v>1.44E-2</v>
      </c>
      <c r="K151" s="15">
        <v>7.3000000000000001E-3</v>
      </c>
      <c r="L151" s="9">
        <v>7.1000000000000004E-3</v>
      </c>
      <c r="M151" s="7">
        <v>7.4000000000000003E-3</v>
      </c>
      <c r="N151" s="7">
        <v>6.7000000000000002E-3</v>
      </c>
      <c r="O151" s="7">
        <v>6.6E-3</v>
      </c>
      <c r="P151" s="7">
        <v>7.1999999999999998E-3</v>
      </c>
    </row>
    <row r="152" spans="1:23">
      <c r="A152" t="s">
        <v>148</v>
      </c>
      <c r="B152" s="9">
        <v>9.2499999999999999E-2</v>
      </c>
      <c r="C152" s="15">
        <v>9.2200000000000004E-2</v>
      </c>
      <c r="D152" s="15">
        <v>7.9600000000000004E-2</v>
      </c>
      <c r="E152" s="15">
        <v>7.5300000000000006E-2</v>
      </c>
      <c r="F152" s="15">
        <v>3.0599999999999999E-2</v>
      </c>
      <c r="G152" s="15">
        <v>7.2300000000000003E-2</v>
      </c>
      <c r="H152" s="15">
        <v>7.2700000000000001E-2</v>
      </c>
      <c r="I152" s="15">
        <v>2.9499999999999998E-2</v>
      </c>
      <c r="J152" s="15">
        <v>2.98E-2</v>
      </c>
      <c r="K152" s="15">
        <v>1.52E-2</v>
      </c>
      <c r="L152" s="9">
        <v>1.4999999999999999E-2</v>
      </c>
      <c r="M152" s="9">
        <v>1.54E-2</v>
      </c>
      <c r="N152" s="9">
        <v>1.4200000000000001E-2</v>
      </c>
      <c r="O152" s="9">
        <v>1.38E-2</v>
      </c>
      <c r="P152">
        <v>1.44E-2</v>
      </c>
    </row>
    <row r="153" spans="1:23">
      <c r="A153" t="s">
        <v>149</v>
      </c>
      <c r="B153" s="15">
        <v>0.29010000000000002</v>
      </c>
      <c r="C153" s="15">
        <v>0.28939999999999999</v>
      </c>
      <c r="D153" s="15">
        <v>0.23849999999999999</v>
      </c>
      <c r="E153" s="9">
        <v>0.22559999999999999</v>
      </c>
      <c r="F153" s="15">
        <v>0.1164</v>
      </c>
      <c r="G153" s="15">
        <v>0.2107</v>
      </c>
      <c r="H153" s="9">
        <v>0.21210000000000001</v>
      </c>
      <c r="I153" s="9">
        <v>0.10979999999999999</v>
      </c>
      <c r="J153" s="9">
        <v>0.1103</v>
      </c>
      <c r="K153" s="9">
        <v>4.8800000000000003E-2</v>
      </c>
      <c r="L153" s="9">
        <v>4.5199999999999997E-2</v>
      </c>
      <c r="M153" s="9">
        <v>4.7399999999999998E-2</v>
      </c>
      <c r="N153" s="9">
        <v>4.3900000000000002E-2</v>
      </c>
      <c r="O153" s="9">
        <v>4.36E-2</v>
      </c>
      <c r="P153">
        <v>4.4400000000000002E-2</v>
      </c>
    </row>
    <row r="154" spans="1:23">
      <c r="A154" t="s">
        <v>132</v>
      </c>
      <c r="B154" s="15">
        <v>0.31369999999999998</v>
      </c>
      <c r="C154" s="9">
        <v>0.31619999999999998</v>
      </c>
      <c r="D154" s="9">
        <v>0.23180000000000001</v>
      </c>
      <c r="E154" s="9">
        <v>0.22500000000000001</v>
      </c>
      <c r="F154" s="9">
        <v>0.1754</v>
      </c>
      <c r="G154" s="9">
        <v>0.2102</v>
      </c>
      <c r="H154" s="9">
        <v>0.20860000000000001</v>
      </c>
      <c r="I154" s="9">
        <v>0.1615</v>
      </c>
      <c r="J154" s="9">
        <v>0.1615</v>
      </c>
      <c r="K154" s="9">
        <v>5.3900000000000003E-2</v>
      </c>
      <c r="L154" s="9">
        <v>4.7399999999999998E-2</v>
      </c>
      <c r="M154" s="9">
        <v>4.9099999999999998E-2</v>
      </c>
      <c r="N154" s="9">
        <v>4.4699999999999997E-2</v>
      </c>
      <c r="O154" s="9">
        <v>4.36E-2</v>
      </c>
      <c r="P154">
        <v>4.5900000000000003E-2</v>
      </c>
    </row>
    <row r="155" spans="1:23">
      <c r="A155" t="s">
        <v>133</v>
      </c>
      <c r="B155" s="9">
        <v>0.2276</v>
      </c>
      <c r="C155" s="9">
        <v>0.22620000000000001</v>
      </c>
      <c r="D155" s="9">
        <v>0.2545</v>
      </c>
      <c r="E155" s="9">
        <v>0.2268</v>
      </c>
      <c r="F155" s="9">
        <v>0.4108</v>
      </c>
      <c r="G155" s="9">
        <v>0.20130000000000001</v>
      </c>
      <c r="H155" s="9">
        <v>0.20080000000000001</v>
      </c>
      <c r="I155" s="9">
        <v>0.3745</v>
      </c>
      <c r="J155" s="9">
        <v>0.37419999999999998</v>
      </c>
      <c r="K155" s="9">
        <v>0.14180000000000001</v>
      </c>
      <c r="L155" s="9">
        <v>0.12759999999999999</v>
      </c>
      <c r="M155" s="9">
        <v>0.12720000000000001</v>
      </c>
      <c r="N155" s="9">
        <v>0.1158</v>
      </c>
      <c r="O155" s="9">
        <v>0.1045</v>
      </c>
      <c r="P155" s="9">
        <v>0.1043</v>
      </c>
    </row>
    <row r="156" spans="1:23">
      <c r="A156" t="s">
        <v>134</v>
      </c>
      <c r="B156" s="9">
        <v>4.0000000000000002E-4</v>
      </c>
      <c r="C156" s="9">
        <v>4.0000000000000002E-4</v>
      </c>
      <c r="D156" s="9">
        <v>0.12809999999999999</v>
      </c>
      <c r="E156" s="7">
        <v>0.1825</v>
      </c>
      <c r="F156" s="9">
        <v>0.24610000000000001</v>
      </c>
      <c r="G156" s="9">
        <v>0.24360000000000001</v>
      </c>
      <c r="H156" s="7">
        <v>0.24340000000000001</v>
      </c>
      <c r="I156" s="7">
        <v>0.30499999999999999</v>
      </c>
      <c r="J156" s="7">
        <v>0.30420000000000003</v>
      </c>
      <c r="K156" s="7">
        <v>0.73040000000000005</v>
      </c>
      <c r="L156" s="9">
        <v>0.75490000000000002</v>
      </c>
      <c r="M156" s="7">
        <v>0.75029999999999997</v>
      </c>
      <c r="N156" s="7">
        <v>0.77190000000000003</v>
      </c>
      <c r="O156" s="7">
        <v>0.78490000000000004</v>
      </c>
      <c r="P156" s="7">
        <v>0.78049999999999997</v>
      </c>
    </row>
    <row r="157" spans="1:23">
      <c r="A157" t="s">
        <v>139</v>
      </c>
      <c r="B157" s="9">
        <v>0</v>
      </c>
      <c r="C157" s="7">
        <v>0</v>
      </c>
      <c r="D157" s="7">
        <v>0</v>
      </c>
      <c r="E157" s="7">
        <v>0</v>
      </c>
      <c r="F157" s="7">
        <v>0</v>
      </c>
      <c r="G157" s="7">
        <v>0</v>
      </c>
      <c r="H157" s="7">
        <v>0</v>
      </c>
      <c r="I157" s="7">
        <v>0</v>
      </c>
      <c r="J157" s="7">
        <v>0</v>
      </c>
      <c r="K157" s="7">
        <v>0</v>
      </c>
      <c r="L157" s="7">
        <v>0</v>
      </c>
      <c r="M157" s="7">
        <v>0</v>
      </c>
      <c r="N157" s="7">
        <v>0</v>
      </c>
      <c r="O157" s="7">
        <v>0</v>
      </c>
      <c r="P157">
        <v>0</v>
      </c>
    </row>
    <row r="158" spans="1:23">
      <c r="B158" s="9"/>
      <c r="C158" s="7"/>
      <c r="D158" s="7"/>
      <c r="E158" s="7"/>
      <c r="F158" s="7"/>
      <c r="G158" s="7"/>
      <c r="H158" s="7"/>
      <c r="I158" s="7"/>
      <c r="J158" s="7"/>
      <c r="K158" s="7"/>
      <c r="L158" s="7"/>
      <c r="M158" s="7"/>
      <c r="N158" s="7"/>
      <c r="O158" s="7"/>
    </row>
    <row r="159" spans="1:23">
      <c r="A159" s="14" t="s">
        <v>261</v>
      </c>
      <c r="B159" s="9"/>
      <c r="C159" s="7"/>
      <c r="D159" s="7"/>
      <c r="E159" s="7"/>
      <c r="F159" s="7"/>
      <c r="G159" s="7"/>
      <c r="H159" s="7"/>
      <c r="I159" s="7"/>
      <c r="J159" s="7"/>
      <c r="K159" s="7"/>
      <c r="L159" s="7"/>
      <c r="M159" s="7"/>
      <c r="N159" s="7"/>
      <c r="O159" s="7"/>
    </row>
    <row r="160" spans="1:23">
      <c r="A160" t="s">
        <v>316</v>
      </c>
      <c r="B160" s="5">
        <f>B165/25</f>
        <v>3359.3119999999999</v>
      </c>
      <c r="C160" s="5">
        <f t="shared" ref="C160:P160" si="15">C165/25</f>
        <v>3344.7556</v>
      </c>
      <c r="D160" s="5">
        <f t="shared" si="15"/>
        <v>3701.7540000000004</v>
      </c>
      <c r="E160" s="5">
        <f t="shared" si="15"/>
        <v>3588.6668</v>
      </c>
      <c r="F160" s="5">
        <f t="shared" si="15"/>
        <v>3378.2971999999995</v>
      </c>
      <c r="G160" s="5">
        <f t="shared" si="15"/>
        <v>3582.5164</v>
      </c>
      <c r="H160" s="5">
        <f t="shared" si="15"/>
        <v>3626.1732000000002</v>
      </c>
      <c r="I160" s="5">
        <f t="shared" si="15"/>
        <v>3332.6288</v>
      </c>
      <c r="J160" s="5">
        <f t="shared" si="15"/>
        <v>3292.8288000000002</v>
      </c>
      <c r="K160" s="5">
        <f t="shared" si="15"/>
        <v>3451.3368</v>
      </c>
      <c r="L160" s="5">
        <f t="shared" si="15"/>
        <v>3343.1708000000003</v>
      </c>
      <c r="M160" s="5">
        <f t="shared" si="15"/>
        <v>3423.9967999999999</v>
      </c>
      <c r="N160" s="5">
        <f t="shared" si="15"/>
        <v>3379.998</v>
      </c>
      <c r="O160" s="5">
        <f t="shared" si="15"/>
        <v>3437.9059999999999</v>
      </c>
      <c r="P160" s="5">
        <f t="shared" si="15"/>
        <v>3396.6304</v>
      </c>
      <c r="Q160" s="5"/>
      <c r="R160" s="5"/>
      <c r="S160" s="5"/>
      <c r="T160" s="5"/>
      <c r="U160" s="5"/>
      <c r="V160" s="5"/>
      <c r="W160" s="5"/>
    </row>
    <row r="161" spans="1:23">
      <c r="A161" t="s">
        <v>317</v>
      </c>
      <c r="B161" s="5">
        <f t="shared" ref="B161:P164" si="16">B166/25</f>
        <v>6893.3907999999992</v>
      </c>
      <c r="C161" s="5">
        <f t="shared" si="16"/>
        <v>6819.4519999999993</v>
      </c>
      <c r="D161" s="5">
        <f t="shared" si="16"/>
        <v>6055.1540000000005</v>
      </c>
      <c r="E161" s="5">
        <f t="shared" si="16"/>
        <v>5926.1239999999998</v>
      </c>
      <c r="F161" s="5">
        <f t="shared" si="16"/>
        <v>5561.6180000000004</v>
      </c>
      <c r="G161" s="5">
        <f t="shared" si="16"/>
        <v>5883.0343999999996</v>
      </c>
      <c r="H161" s="5">
        <f t="shared" si="16"/>
        <v>5907.7988000000005</v>
      </c>
      <c r="I161" s="5">
        <f t="shared" si="16"/>
        <v>5701.3423999999995</v>
      </c>
      <c r="J161" s="5">
        <f t="shared" si="16"/>
        <v>5679.134</v>
      </c>
      <c r="K161" s="5">
        <f t="shared" si="16"/>
        <v>4944.5847999999996</v>
      </c>
      <c r="L161" s="5">
        <f t="shared" si="16"/>
        <v>4939.3760000000002</v>
      </c>
      <c r="M161" s="5">
        <f t="shared" si="16"/>
        <v>4902.3123999999998</v>
      </c>
      <c r="N161" s="5">
        <f t="shared" si="16"/>
        <v>4927.3091999999997</v>
      </c>
      <c r="O161" s="5">
        <f t="shared" si="16"/>
        <v>4882.2520000000004</v>
      </c>
      <c r="P161" s="5">
        <f t="shared" si="16"/>
        <v>4961.1635999999999</v>
      </c>
      <c r="Q161" s="5"/>
      <c r="R161" s="5"/>
      <c r="S161" s="5"/>
      <c r="T161" s="5"/>
      <c r="U161" s="5"/>
      <c r="V161" s="5"/>
      <c r="W161" s="5"/>
    </row>
    <row r="162" spans="1:23">
      <c r="A162" t="s">
        <v>318</v>
      </c>
      <c r="B162" s="5">
        <f t="shared" si="16"/>
        <v>376.55760000000004</v>
      </c>
      <c r="C162" s="5">
        <f t="shared" si="16"/>
        <v>456.25</v>
      </c>
      <c r="D162" s="5">
        <f t="shared" si="16"/>
        <v>216.1148</v>
      </c>
      <c r="E162" s="5">
        <f t="shared" si="16"/>
        <v>366.41720000000004</v>
      </c>
      <c r="F162" s="5">
        <f t="shared" si="16"/>
        <v>257.1404</v>
      </c>
      <c r="G162" s="5">
        <f t="shared" si="16"/>
        <v>325.46440000000001</v>
      </c>
      <c r="H162" s="5">
        <f t="shared" si="16"/>
        <v>313.49639999999999</v>
      </c>
      <c r="I162" s="5">
        <f t="shared" si="16"/>
        <v>280.70920000000001</v>
      </c>
      <c r="J162" s="5">
        <f t="shared" si="16"/>
        <v>291.36400000000003</v>
      </c>
      <c r="K162" s="5">
        <f t="shared" si="16"/>
        <v>851.33039999999994</v>
      </c>
      <c r="L162" s="5">
        <f t="shared" si="16"/>
        <v>909.38639999999998</v>
      </c>
      <c r="M162" s="5">
        <f t="shared" si="16"/>
        <v>851.22240000000011</v>
      </c>
      <c r="N162" s="5">
        <f t="shared" si="16"/>
        <v>881.12720000000002</v>
      </c>
      <c r="O162" s="5">
        <f t="shared" si="16"/>
        <v>905.55639999999994</v>
      </c>
      <c r="P162" s="5">
        <f t="shared" si="16"/>
        <v>850.8975999999999</v>
      </c>
      <c r="Q162" s="5"/>
      <c r="R162" s="5"/>
      <c r="S162" s="5"/>
      <c r="T162" s="5"/>
      <c r="U162" s="5"/>
      <c r="V162" s="5"/>
      <c r="W162" s="5"/>
    </row>
    <row r="163" spans="1:23">
      <c r="A163" t="s">
        <v>319</v>
      </c>
      <c r="B163" s="5">
        <f t="shared" si="16"/>
        <v>0.01</v>
      </c>
      <c r="C163" s="5">
        <f t="shared" si="16"/>
        <v>7.1344000000000003</v>
      </c>
      <c r="D163" s="5">
        <f t="shared" si="16"/>
        <v>15.882400000000001</v>
      </c>
      <c r="E163" s="5">
        <f t="shared" si="16"/>
        <v>3.6295999999999999</v>
      </c>
      <c r="F163" s="5">
        <f t="shared" si="16"/>
        <v>2.0400000000000001E-2</v>
      </c>
      <c r="G163" s="5">
        <f t="shared" si="16"/>
        <v>9.4968000000000004</v>
      </c>
      <c r="H163" s="5">
        <f t="shared" si="16"/>
        <v>10.128</v>
      </c>
      <c r="I163" s="5">
        <f t="shared" si="16"/>
        <v>9.7896000000000001</v>
      </c>
      <c r="J163" s="5">
        <f t="shared" si="16"/>
        <v>9.5999999999999992E-3</v>
      </c>
      <c r="K163" s="5">
        <f t="shared" si="16"/>
        <v>4.1175999999999995</v>
      </c>
      <c r="L163" s="5">
        <f t="shared" si="16"/>
        <v>4.8288000000000002</v>
      </c>
      <c r="M163" s="5">
        <f t="shared" si="16"/>
        <v>3.6080000000000001</v>
      </c>
      <c r="N163" s="5">
        <f t="shared" si="16"/>
        <v>7.7476000000000003</v>
      </c>
      <c r="O163" s="5">
        <f t="shared" si="16"/>
        <v>7.7927999999999997</v>
      </c>
      <c r="P163" s="5">
        <f t="shared" si="16"/>
        <v>5.2284000000000006</v>
      </c>
      <c r="Q163" s="5"/>
      <c r="R163" s="5"/>
      <c r="S163" s="5"/>
      <c r="T163" s="5"/>
      <c r="U163" s="5"/>
      <c r="V163" s="5"/>
      <c r="W163" s="5"/>
    </row>
    <row r="164" spans="1:23">
      <c r="A164" t="s">
        <v>266</v>
      </c>
      <c r="B164" s="5">
        <f t="shared" si="16"/>
        <v>10629.270400000001</v>
      </c>
      <c r="C164" s="5">
        <f t="shared" si="16"/>
        <v>10627.591999999999</v>
      </c>
      <c r="D164" s="5">
        <f t="shared" si="16"/>
        <v>9988.9052000000011</v>
      </c>
      <c r="E164" s="5">
        <f t="shared" si="16"/>
        <v>9884.8376000000007</v>
      </c>
      <c r="F164" s="5">
        <f t="shared" si="16"/>
        <v>9197.0760000000009</v>
      </c>
      <c r="G164" s="5">
        <f t="shared" si="16"/>
        <v>9800.5119999999988</v>
      </c>
      <c r="H164" s="5">
        <f t="shared" si="16"/>
        <v>9857.5964000000004</v>
      </c>
      <c r="I164" s="5">
        <f t="shared" si="16"/>
        <v>9324.4699999999993</v>
      </c>
      <c r="J164" s="5">
        <f t="shared" si="16"/>
        <v>9263.3364000000001</v>
      </c>
      <c r="K164" s="5">
        <f t="shared" si="16"/>
        <v>9251.3696</v>
      </c>
      <c r="L164" s="5">
        <f t="shared" si="16"/>
        <v>9196.7619999999988</v>
      </c>
      <c r="M164" s="5">
        <f t="shared" si="16"/>
        <v>9181.1396000000004</v>
      </c>
      <c r="N164" s="5">
        <f t="shared" si="16"/>
        <v>9196.1819999999989</v>
      </c>
      <c r="O164" s="5">
        <f t="shared" si="16"/>
        <v>9233.5072</v>
      </c>
      <c r="P164" s="5">
        <f t="shared" si="16"/>
        <v>9213.9199999999983</v>
      </c>
      <c r="Q164" s="5"/>
      <c r="R164" s="5"/>
      <c r="S164" s="5"/>
      <c r="T164" s="5"/>
      <c r="U164" s="5"/>
      <c r="V164" s="5"/>
      <c r="W164" s="5"/>
    </row>
    <row r="165" spans="1:23">
      <c r="A165" t="s">
        <v>262</v>
      </c>
      <c r="B165" s="5">
        <v>83982.8</v>
      </c>
      <c r="C165" s="5">
        <v>83618.89</v>
      </c>
      <c r="D165" s="5">
        <v>92543.85</v>
      </c>
      <c r="E165" s="5">
        <v>89716.67</v>
      </c>
      <c r="F165" s="5">
        <v>84457.43</v>
      </c>
      <c r="G165" s="5">
        <v>89562.91</v>
      </c>
      <c r="H165" s="5">
        <v>90654.33</v>
      </c>
      <c r="I165" s="5">
        <v>83315.72</v>
      </c>
      <c r="J165" s="5">
        <v>82320.72</v>
      </c>
      <c r="K165" s="5">
        <v>86283.42</v>
      </c>
      <c r="L165" s="5">
        <v>83579.27</v>
      </c>
      <c r="M165" s="5">
        <v>85599.92</v>
      </c>
      <c r="N165" s="5">
        <v>84499.95</v>
      </c>
      <c r="O165" s="5">
        <v>85947.65</v>
      </c>
      <c r="P165" s="5">
        <v>84915.76</v>
      </c>
    </row>
    <row r="166" spans="1:23">
      <c r="A166" t="s">
        <v>263</v>
      </c>
      <c r="B166" s="5">
        <v>172334.77</v>
      </c>
      <c r="C166" s="5">
        <v>170486.3</v>
      </c>
      <c r="D166" s="5">
        <v>151378.85</v>
      </c>
      <c r="E166" s="5">
        <v>148153.1</v>
      </c>
      <c r="F166" s="5">
        <v>139040.45000000001</v>
      </c>
      <c r="G166" s="5">
        <v>147075.85999999999</v>
      </c>
      <c r="H166" s="5">
        <v>147694.97</v>
      </c>
      <c r="I166" s="5">
        <v>142533.56</v>
      </c>
      <c r="J166" s="5">
        <v>141978.35</v>
      </c>
      <c r="K166" s="5">
        <v>123614.62</v>
      </c>
      <c r="L166" s="5">
        <v>123484.4</v>
      </c>
      <c r="M166" s="5">
        <v>122557.81</v>
      </c>
      <c r="N166" s="5">
        <v>123182.73</v>
      </c>
      <c r="O166" s="5">
        <v>122056.3</v>
      </c>
      <c r="P166" s="5">
        <v>124029.09</v>
      </c>
    </row>
    <row r="167" spans="1:23">
      <c r="A167" t="s">
        <v>264</v>
      </c>
      <c r="B167" s="5">
        <v>9413.94</v>
      </c>
      <c r="C167" s="5">
        <v>11406.25</v>
      </c>
      <c r="D167" s="5">
        <v>5402.87</v>
      </c>
      <c r="E167" s="5">
        <v>9160.43</v>
      </c>
      <c r="F167" s="5">
        <v>6428.51</v>
      </c>
      <c r="G167" s="5">
        <v>8136.61</v>
      </c>
      <c r="H167" s="5">
        <v>7837.41</v>
      </c>
      <c r="I167" s="5">
        <v>7017.73</v>
      </c>
      <c r="J167" s="5">
        <v>7284.1</v>
      </c>
      <c r="K167" s="5">
        <v>21283.26</v>
      </c>
      <c r="L167" s="5">
        <v>22734.66</v>
      </c>
      <c r="M167" s="5">
        <v>21280.560000000001</v>
      </c>
      <c r="N167" s="5">
        <v>22028.18</v>
      </c>
      <c r="O167" s="5">
        <v>22638.91</v>
      </c>
      <c r="P167" s="5">
        <v>21272.44</v>
      </c>
    </row>
    <row r="168" spans="1:23">
      <c r="A168" t="s">
        <v>265</v>
      </c>
      <c r="B168" s="5">
        <v>0.25</v>
      </c>
      <c r="C168" s="5">
        <v>178.36</v>
      </c>
      <c r="D168" s="5">
        <v>397.06</v>
      </c>
      <c r="E168" s="5">
        <v>90.74</v>
      </c>
      <c r="F168" s="5">
        <v>0.51</v>
      </c>
      <c r="G168" s="5">
        <v>237.42</v>
      </c>
      <c r="H168" s="5">
        <v>253.2</v>
      </c>
      <c r="I168" s="5">
        <v>244.74</v>
      </c>
      <c r="J168" s="5">
        <v>0.24</v>
      </c>
      <c r="K168" s="5">
        <v>102.94</v>
      </c>
      <c r="L168" s="5">
        <v>120.72</v>
      </c>
      <c r="M168" s="5">
        <v>90.2</v>
      </c>
      <c r="N168" s="5">
        <v>193.69</v>
      </c>
      <c r="O168" s="5">
        <v>194.82</v>
      </c>
      <c r="P168" s="5">
        <v>130.71</v>
      </c>
    </row>
    <row r="169" spans="1:23">
      <c r="A169" t="s">
        <v>266</v>
      </c>
      <c r="B169" s="5">
        <f t="shared" ref="B169:P169" si="17">SUM(B165:B168)</f>
        <v>265731.76</v>
      </c>
      <c r="C169" s="5">
        <f t="shared" si="17"/>
        <v>265689.8</v>
      </c>
      <c r="D169" s="5">
        <f t="shared" si="17"/>
        <v>249722.63</v>
      </c>
      <c r="E169" s="5">
        <f t="shared" si="17"/>
        <v>247120.94</v>
      </c>
      <c r="F169" s="5">
        <f t="shared" si="17"/>
        <v>229926.90000000002</v>
      </c>
      <c r="G169" s="5">
        <f t="shared" si="17"/>
        <v>245012.8</v>
      </c>
      <c r="H169" s="5">
        <f t="shared" si="17"/>
        <v>246439.91</v>
      </c>
      <c r="I169" s="5">
        <f t="shared" si="17"/>
        <v>233111.75</v>
      </c>
      <c r="J169" s="5">
        <f t="shared" si="17"/>
        <v>231583.41</v>
      </c>
      <c r="K169" s="5">
        <f t="shared" si="17"/>
        <v>231284.24</v>
      </c>
      <c r="L169" s="5">
        <f t="shared" si="17"/>
        <v>229919.05</v>
      </c>
      <c r="M169" s="5">
        <f t="shared" si="17"/>
        <v>229528.49</v>
      </c>
      <c r="N169" s="5">
        <f t="shared" si="17"/>
        <v>229904.55</v>
      </c>
      <c r="O169" s="5">
        <f t="shared" si="17"/>
        <v>230837.68000000002</v>
      </c>
      <c r="P169" s="5">
        <f t="shared" si="17"/>
        <v>230347.99999999997</v>
      </c>
    </row>
    <row r="170" spans="1:23">
      <c r="B170" s="9"/>
      <c r="C170" s="7"/>
      <c r="D170" s="7"/>
      <c r="E170" s="7"/>
      <c r="F170" s="7"/>
      <c r="G170" s="7"/>
      <c r="H170" s="7"/>
      <c r="I170" s="7"/>
      <c r="J170" s="7"/>
      <c r="K170" s="7"/>
      <c r="L170" s="7"/>
      <c r="M170" s="7"/>
      <c r="N170" s="7"/>
      <c r="O170" s="7"/>
    </row>
    <row r="171" spans="1:23">
      <c r="A171" s="14" t="s">
        <v>155</v>
      </c>
    </row>
    <row r="172" spans="1:23">
      <c r="A172" t="s">
        <v>160</v>
      </c>
      <c r="B172">
        <f>Assumptions!B2</f>
        <v>25</v>
      </c>
    </row>
    <row r="173" spans="1:23">
      <c r="A173" t="s">
        <v>2</v>
      </c>
      <c r="B173" s="3">
        <f>Assumptions!B3</f>
        <v>0.03</v>
      </c>
      <c r="C173" s="7"/>
      <c r="D173" s="7"/>
      <c r="E173" s="7"/>
      <c r="F173" s="7"/>
      <c r="G173" s="7"/>
      <c r="H173" s="7"/>
      <c r="I173" s="7"/>
      <c r="J173" s="7"/>
      <c r="K173" s="7"/>
      <c r="L173" s="7"/>
      <c r="M173" s="7"/>
      <c r="N173" s="7"/>
      <c r="O173" s="7"/>
      <c r="P173" s="7"/>
    </row>
    <row r="174" spans="1:23">
      <c r="A174" t="s">
        <v>154</v>
      </c>
      <c r="B174" s="9">
        <f>Assumptions!B4</f>
        <v>0.01</v>
      </c>
      <c r="C174" s="7"/>
      <c r="D174" s="7"/>
      <c r="E174" s="7"/>
      <c r="F174" s="7"/>
      <c r="G174" s="7"/>
      <c r="H174" s="7"/>
      <c r="I174" s="7"/>
      <c r="J174" s="7"/>
      <c r="K174" s="7"/>
      <c r="L174" s="7"/>
      <c r="M174" s="7"/>
      <c r="N174" s="7"/>
      <c r="O174" s="7"/>
      <c r="P174" s="7"/>
    </row>
    <row r="175" spans="1:23">
      <c r="A175" t="s">
        <v>162</v>
      </c>
      <c r="B175">
        <f>Assumptions!B5</f>
        <v>1</v>
      </c>
      <c r="C175" s="9"/>
      <c r="D175" s="9"/>
      <c r="E175" s="9"/>
      <c r="F175" s="9"/>
      <c r="G175" s="9"/>
      <c r="H175" s="9"/>
      <c r="I175" s="9"/>
      <c r="J175" s="9"/>
      <c r="K175" s="9"/>
      <c r="L175" s="9"/>
      <c r="M175" s="9"/>
      <c r="N175" s="9"/>
      <c r="O175" s="9"/>
      <c r="P175" s="9"/>
    </row>
    <row r="176" spans="1:23">
      <c r="A176" t="s">
        <v>99</v>
      </c>
      <c r="B176" s="4">
        <f>Assumptions!B6</f>
        <v>7.99</v>
      </c>
      <c r="C176" s="15"/>
      <c r="D176" s="15"/>
      <c r="E176" s="15"/>
      <c r="F176" s="15"/>
      <c r="G176" s="15"/>
      <c r="H176" s="15"/>
      <c r="I176" s="15"/>
      <c r="J176" s="15"/>
      <c r="K176" s="15"/>
      <c r="L176" s="15"/>
      <c r="M176" s="15"/>
      <c r="N176" s="15"/>
      <c r="O176" s="15"/>
      <c r="P176" s="15"/>
    </row>
    <row r="177" spans="1:16">
      <c r="A177" t="s">
        <v>98</v>
      </c>
      <c r="B177" s="4">
        <f>Assumptions!B7</f>
        <v>7.163333333333334</v>
      </c>
      <c r="C177" s="15"/>
      <c r="D177" s="15"/>
      <c r="E177" s="15"/>
      <c r="F177" s="15"/>
      <c r="G177" s="15"/>
      <c r="H177" s="15"/>
      <c r="I177" s="15"/>
      <c r="J177" s="15"/>
      <c r="K177" s="15"/>
      <c r="L177" s="15"/>
      <c r="M177" s="15"/>
      <c r="N177" s="15"/>
      <c r="O177" s="15"/>
      <c r="P177" s="15"/>
    </row>
    <row r="178" spans="1:16">
      <c r="A178" t="s">
        <v>102</v>
      </c>
      <c r="B178">
        <v>134000</v>
      </c>
    </row>
    <row r="179" spans="1:16">
      <c r="A179" t="s">
        <v>103</v>
      </c>
      <c r="B179">
        <v>2.93071E-4</v>
      </c>
    </row>
    <row r="180" spans="1:16">
      <c r="A180" t="s">
        <v>228</v>
      </c>
      <c r="B180">
        <f>Assumptions!B10</f>
        <v>186075.58976888133</v>
      </c>
    </row>
    <row r="181" spans="1:16">
      <c r="A181" t="s">
        <v>285</v>
      </c>
      <c r="B181" s="11">
        <f>Assumptions!B11</f>
        <v>-2655676.2110055005</v>
      </c>
    </row>
    <row r="182" spans="1:16">
      <c r="A182" t="s">
        <v>235</v>
      </c>
      <c r="B182" s="11">
        <f>Assumptions!B12</f>
        <v>-13815874.877344536</v>
      </c>
    </row>
    <row r="183" spans="1:16">
      <c r="A183" t="s">
        <v>234</v>
      </c>
      <c r="B183" s="11">
        <f>Assumptions!B13</f>
        <v>-6752037.5898857638</v>
      </c>
    </row>
    <row r="184" spans="1:16">
      <c r="A184" t="s">
        <v>229</v>
      </c>
      <c r="B184" s="11">
        <f>Assumptions!B14</f>
        <v>21141875662.789482</v>
      </c>
    </row>
    <row r="185" spans="1:16">
      <c r="B185" s="39"/>
      <c r="C185" s="39"/>
      <c r="D185" s="9"/>
      <c r="E185" s="9"/>
      <c r="F185" s="9"/>
      <c r="G185" s="9"/>
      <c r="H185" s="9"/>
      <c r="I185" s="9"/>
      <c r="J185" s="9"/>
      <c r="K185" s="9"/>
      <c r="L185" s="9"/>
      <c r="M185" s="9"/>
      <c r="N185" s="9"/>
      <c r="O185" s="9"/>
      <c r="P185" s="9"/>
    </row>
    <row r="186" spans="1:16">
      <c r="A186" t="s">
        <v>215</v>
      </c>
      <c r="B186" s="39">
        <f>Assumptions!B16</f>
        <v>0.14929999999999999</v>
      </c>
      <c r="D186" s="7"/>
      <c r="E186" s="7"/>
      <c r="F186" s="7"/>
      <c r="G186" s="7"/>
      <c r="H186" s="7"/>
      <c r="I186" s="7"/>
      <c r="J186" s="7"/>
      <c r="K186" s="7"/>
      <c r="L186" s="7"/>
      <c r="M186" s="7"/>
      <c r="N186" s="7"/>
      <c r="O186" s="7"/>
      <c r="P186" s="7"/>
    </row>
    <row r="187" spans="1:16">
      <c r="A187" t="s">
        <v>215</v>
      </c>
      <c r="B187" s="39">
        <f>Assumptions!B17</f>
        <v>-0.90090000000000003</v>
      </c>
    </row>
    <row r="188" spans="1:16">
      <c r="A188" t="s">
        <v>215</v>
      </c>
      <c r="B188" s="39">
        <f>Assumptions!B18</f>
        <v>16.515000000000001</v>
      </c>
    </row>
    <row r="189" spans="1:16">
      <c r="B189" s="39"/>
      <c r="C189" s="39"/>
    </row>
    <row r="190" spans="1:16">
      <c r="A190" t="s">
        <v>216</v>
      </c>
      <c r="B190" s="39">
        <f>Assumptions!B20</f>
        <v>0.1123</v>
      </c>
      <c r="C190" s="39"/>
    </row>
    <row r="191" spans="1:16">
      <c r="A191" t="s">
        <v>216</v>
      </c>
      <c r="B191" s="39">
        <f>Assumptions!B21</f>
        <v>-0.6774</v>
      </c>
      <c r="C191" s="39"/>
    </row>
    <row r="192" spans="1:16">
      <c r="A192" t="s">
        <v>216</v>
      </c>
      <c r="B192" s="39">
        <f>Assumptions!B22</f>
        <v>12.417999999999999</v>
      </c>
      <c r="C192" s="39"/>
    </row>
    <row r="193" spans="1:3">
      <c r="B193" s="39"/>
      <c r="C193" s="39"/>
    </row>
    <row r="194" spans="1:3">
      <c r="A194" t="s">
        <v>217</v>
      </c>
      <c r="B194" s="5">
        <f>Assumptions!B24</f>
        <v>1747196.0752000001</v>
      </c>
      <c r="C194" s="39"/>
    </row>
    <row r="195" spans="1:3">
      <c r="A195" t="s">
        <v>223</v>
      </c>
      <c r="B195" s="5">
        <f>Assumptions!B25</f>
        <v>2813162.6651999997</v>
      </c>
    </row>
    <row r="197" spans="1:3">
      <c r="A197" t="s">
        <v>283</v>
      </c>
      <c r="B197" s="5">
        <f>B105/25</f>
        <v>1485116.6</v>
      </c>
    </row>
    <row r="198" spans="1:3">
      <c r="A198" t="s">
        <v>284</v>
      </c>
      <c r="B198" s="5">
        <f>(B36+B35)/25</f>
        <v>1547239.44</v>
      </c>
    </row>
    <row r="199" spans="1:3">
      <c r="B199" s="5"/>
    </row>
    <row r="200" spans="1:3">
      <c r="A200" t="s">
        <v>267</v>
      </c>
      <c r="B200">
        <v>80000</v>
      </c>
    </row>
    <row r="201" spans="1:3">
      <c r="A201" t="s">
        <v>272</v>
      </c>
      <c r="B201">
        <v>410.53</v>
      </c>
    </row>
    <row r="202" spans="1:3">
      <c r="A202" t="s">
        <v>273</v>
      </c>
      <c r="B202">
        <v>105.26</v>
      </c>
    </row>
    <row r="204" spans="1:3">
      <c r="A204" t="s">
        <v>271</v>
      </c>
      <c r="B204" s="11">
        <v>15.780750000000001</v>
      </c>
    </row>
    <row r="205" spans="1:3">
      <c r="A205" t="s">
        <v>270</v>
      </c>
      <c r="B205" s="11">
        <v>16.452750000000002</v>
      </c>
    </row>
    <row r="206" spans="1:3">
      <c r="A206" t="s">
        <v>268</v>
      </c>
      <c r="B206" s="11">
        <v>16.758750000000003</v>
      </c>
    </row>
    <row r="207" spans="1:3">
      <c r="A207" t="s">
        <v>269</v>
      </c>
      <c r="B207" s="11">
        <v>17.142244565217393</v>
      </c>
    </row>
    <row r="209" spans="1:23">
      <c r="A209" t="s">
        <v>335</v>
      </c>
      <c r="B209" s="11">
        <f>Assumptions!B36</f>
        <v>560000</v>
      </c>
    </row>
    <row r="210" spans="1:23">
      <c r="A210" t="s">
        <v>326</v>
      </c>
      <c r="B210" s="54">
        <f>Assumptions!B37</f>
        <v>17500</v>
      </c>
    </row>
    <row r="211" spans="1:23">
      <c r="A211" t="s">
        <v>329</v>
      </c>
      <c r="B211" s="11">
        <f>Assumptions!B38</f>
        <v>0.54</v>
      </c>
    </row>
    <row r="213" spans="1:23">
      <c r="A213" t="s">
        <v>221</v>
      </c>
      <c r="B213" s="5">
        <f>1-B197/B194</f>
        <v>0.15000003658433125</v>
      </c>
    </row>
    <row r="214" spans="1:23">
      <c r="A214" t="s">
        <v>220</v>
      </c>
      <c r="B214" s="5">
        <f>1-B198/B195</f>
        <v>0.45000000919250072</v>
      </c>
    </row>
    <row r="216" spans="1:23">
      <c r="A216" t="s">
        <v>218</v>
      </c>
      <c r="B216" s="4">
        <f>B188*(B213^2)+B213*B187+B186</f>
        <v>0.38575264829826728</v>
      </c>
    </row>
    <row r="217" spans="1:23">
      <c r="A217" t="s">
        <v>219</v>
      </c>
      <c r="B217" s="4">
        <f>B192*(B214^2)+B214*B191+B190</f>
        <v>2.3221150965102271</v>
      </c>
    </row>
    <row r="218" spans="1:23">
      <c r="B218" s="4"/>
      <c r="C218" s="5"/>
      <c r="D218" s="5"/>
      <c r="E218" s="5"/>
      <c r="F218" s="5"/>
      <c r="G218" s="5"/>
      <c r="H218" s="5"/>
      <c r="I218" s="5"/>
      <c r="J218" s="5"/>
      <c r="K218" s="5"/>
      <c r="L218" s="5"/>
      <c r="M218" s="5"/>
      <c r="N218" s="5"/>
      <c r="O218" s="5"/>
      <c r="P218" s="5"/>
    </row>
    <row r="219" spans="1:23">
      <c r="A219" t="s">
        <v>218</v>
      </c>
      <c r="B219" s="11">
        <f>-B216*(B194-B197)</f>
        <v>-101097.85162302006</v>
      </c>
      <c r="C219" s="5"/>
      <c r="D219" s="5"/>
      <c r="E219" s="5"/>
      <c r="F219" s="5"/>
      <c r="G219" s="5"/>
      <c r="H219" s="5"/>
      <c r="I219" s="5"/>
      <c r="J219" s="5"/>
      <c r="K219" s="5"/>
      <c r="L219" s="5"/>
      <c r="M219" s="5"/>
      <c r="N219" s="5"/>
      <c r="O219" s="5"/>
      <c r="P219" s="5"/>
    </row>
    <row r="220" spans="1:23">
      <c r="A220" t="s">
        <v>219</v>
      </c>
      <c r="B220" s="11">
        <f>-B217*(B195-B198)</f>
        <v>-2939619.4322598353</v>
      </c>
      <c r="C220" s="11">
        <f>B220+B219</f>
        <v>-3040717.2838828554</v>
      </c>
    </row>
    <row r="222" spans="1:23">
      <c r="A222" t="s">
        <v>222</v>
      </c>
    </row>
    <row r="223" spans="1:23">
      <c r="A223" t="s">
        <v>338</v>
      </c>
      <c r="B223" s="11">
        <f>-B59*1</f>
        <v>0</v>
      </c>
      <c r="C223" s="11">
        <f>-C59*1</f>
        <v>-120000</v>
      </c>
      <c r="D223" s="11">
        <f t="shared" ref="D223:P223" si="18">-D59*1</f>
        <v>-1050000</v>
      </c>
      <c r="E223" s="11">
        <f t="shared" si="18"/>
        <v>-1550000</v>
      </c>
      <c r="F223" s="11">
        <f t="shared" si="18"/>
        <v>-2500000</v>
      </c>
      <c r="G223" s="11">
        <f t="shared" si="18"/>
        <v>-2550000</v>
      </c>
      <c r="H223" s="11">
        <f t="shared" si="18"/>
        <v>-2670000</v>
      </c>
      <c r="I223" s="11">
        <f t="shared" si="18"/>
        <v>-3500000</v>
      </c>
      <c r="J223" s="11">
        <f t="shared" si="18"/>
        <v>-3620000</v>
      </c>
      <c r="K223" s="11">
        <f t="shared" si="18"/>
        <v>-4300000</v>
      </c>
      <c r="L223" s="11">
        <f t="shared" si="18"/>
        <v>-4800000</v>
      </c>
      <c r="M223" s="11">
        <f t="shared" si="18"/>
        <v>-4885000</v>
      </c>
      <c r="N223" s="11">
        <f t="shared" si="18"/>
        <v>-5300000</v>
      </c>
      <c r="O223" s="11">
        <f t="shared" si="18"/>
        <v>-6300000</v>
      </c>
      <c r="P223" s="11">
        <f t="shared" si="18"/>
        <v>-6420000</v>
      </c>
      <c r="Q223" s="11"/>
      <c r="R223" s="11"/>
      <c r="S223" s="11"/>
      <c r="T223" s="11"/>
      <c r="U223" s="11"/>
      <c r="V223" s="11"/>
      <c r="W223" s="11"/>
    </row>
    <row r="225" spans="1:16">
      <c r="A225" t="s">
        <v>158</v>
      </c>
      <c r="B225" s="11">
        <f t="shared" ref="B225:P225" si="19">-B48+B59</f>
        <v>0</v>
      </c>
      <c r="C225" s="11">
        <f t="shared" si="19"/>
        <v>0</v>
      </c>
      <c r="D225" s="11">
        <f t="shared" si="19"/>
        <v>-10264.689999999944</v>
      </c>
      <c r="E225" s="11">
        <f t="shared" si="19"/>
        <v>-11931.139999999898</v>
      </c>
      <c r="F225" s="11">
        <f t="shared" si="19"/>
        <v>-13397.229999999981</v>
      </c>
      <c r="G225" s="11">
        <f t="shared" si="19"/>
        <v>-18115.299999999814</v>
      </c>
      <c r="H225" s="11">
        <f t="shared" si="19"/>
        <v>-18115.299999999814</v>
      </c>
      <c r="I225" s="11">
        <f t="shared" si="19"/>
        <v>-20582.770000000019</v>
      </c>
      <c r="J225" s="11">
        <f t="shared" si="19"/>
        <v>-20583.649999999907</v>
      </c>
      <c r="K225" s="11">
        <f t="shared" si="19"/>
        <v>-33002.129999999888</v>
      </c>
      <c r="L225" s="11">
        <f t="shared" si="19"/>
        <v>-36791.599999999627</v>
      </c>
      <c r="M225" s="11">
        <f t="shared" si="19"/>
        <v>-36730.589999999851</v>
      </c>
      <c r="N225" s="11">
        <f t="shared" si="19"/>
        <v>-41346.509999999776</v>
      </c>
      <c r="O225" s="11">
        <f t="shared" si="19"/>
        <v>-50314.80999999959</v>
      </c>
      <c r="P225" s="11">
        <f t="shared" si="19"/>
        <v>-50234.30999999959</v>
      </c>
    </row>
    <row r="226" spans="1:16">
      <c r="A226" t="s">
        <v>157</v>
      </c>
      <c r="B226">
        <v>0</v>
      </c>
      <c r="C226" s="16">
        <f>IF(C225=0,0,-(C225+10000)/500)</f>
        <v>0</v>
      </c>
      <c r="D226" s="16">
        <f t="shared" ref="D226:P226" si="20">IF(D225=0,0,-(D225+10000)/500)</f>
        <v>0.52937999999988827</v>
      </c>
      <c r="E226" s="16">
        <f t="shared" si="20"/>
        <v>3.862279999999795</v>
      </c>
      <c r="F226" s="16">
        <f t="shared" si="20"/>
        <v>6.7944599999999626</v>
      </c>
      <c r="G226" s="16">
        <f t="shared" si="20"/>
        <v>16.230599999999626</v>
      </c>
      <c r="H226" s="16">
        <f t="shared" si="20"/>
        <v>16.230599999999626</v>
      </c>
      <c r="I226" s="16">
        <f t="shared" si="20"/>
        <v>21.165540000000036</v>
      </c>
      <c r="J226" s="16">
        <f t="shared" si="20"/>
        <v>21.167299999999813</v>
      </c>
      <c r="K226" s="16">
        <f t="shared" si="20"/>
        <v>46.004259999999775</v>
      </c>
      <c r="L226" s="16">
        <f t="shared" si="20"/>
        <v>53.583199999999252</v>
      </c>
      <c r="M226" s="16">
        <f t="shared" si="20"/>
        <v>53.4611799999997</v>
      </c>
      <c r="N226" s="16">
        <f t="shared" si="20"/>
        <v>62.693019999999549</v>
      </c>
      <c r="O226" s="16">
        <f t="shared" si="20"/>
        <v>80.629619999999179</v>
      </c>
      <c r="P226" s="16">
        <f t="shared" si="20"/>
        <v>80.468619999999177</v>
      </c>
    </row>
    <row r="227" spans="1:16">
      <c r="A227" t="s">
        <v>156</v>
      </c>
      <c r="B227">
        <v>0</v>
      </c>
      <c r="C227" s="15">
        <f>ROUNDUP(C226/6,0)</f>
        <v>0</v>
      </c>
      <c r="D227" s="15">
        <f>ROUNDUP(D226/6,0)</f>
        <v>1</v>
      </c>
      <c r="E227" s="15">
        <f>ROUNDUP(E226/6,0)</f>
        <v>1</v>
      </c>
      <c r="F227" s="15">
        <f>ROUNDUP(F226/6,0)</f>
        <v>2</v>
      </c>
      <c r="G227" s="15">
        <f t="shared" ref="G227:P227" si="21">ROUNDUP(G226/6,0)</f>
        <v>3</v>
      </c>
      <c r="H227" s="15">
        <f t="shared" si="21"/>
        <v>3</v>
      </c>
      <c r="I227" s="15">
        <f t="shared" si="21"/>
        <v>4</v>
      </c>
      <c r="J227" s="15">
        <f t="shared" si="21"/>
        <v>4</v>
      </c>
      <c r="K227" s="15">
        <f t="shared" si="21"/>
        <v>8</v>
      </c>
      <c r="L227" s="15">
        <f t="shared" si="21"/>
        <v>9</v>
      </c>
      <c r="M227" s="15">
        <f t="shared" si="21"/>
        <v>9</v>
      </c>
      <c r="N227" s="15">
        <f t="shared" si="21"/>
        <v>11</v>
      </c>
      <c r="O227" s="15">
        <f t="shared" si="21"/>
        <v>14</v>
      </c>
      <c r="P227" s="15">
        <f t="shared" si="21"/>
        <v>14</v>
      </c>
    </row>
    <row r="228" spans="1:16">
      <c r="C228" s="15"/>
      <c r="D228" s="15"/>
      <c r="E228" s="15"/>
      <c r="F228" s="15"/>
      <c r="G228" s="15"/>
      <c r="H228" s="15"/>
      <c r="I228" s="15"/>
      <c r="J228" s="15"/>
      <c r="K228" s="15"/>
      <c r="L228" s="15"/>
      <c r="M228" s="15"/>
      <c r="N228" s="15"/>
      <c r="O228" s="15"/>
      <c r="P228" s="15"/>
    </row>
    <row r="229" spans="1:16">
      <c r="A229" t="s">
        <v>278</v>
      </c>
      <c r="C229" s="15"/>
      <c r="D229" s="15"/>
      <c r="E229" s="15"/>
      <c r="F229" s="15"/>
      <c r="G229" s="15"/>
      <c r="H229" s="15"/>
      <c r="I229" s="15"/>
      <c r="J229" s="15"/>
      <c r="K229" s="15"/>
      <c r="L229" s="15"/>
      <c r="M229" s="15"/>
      <c r="N229" s="15"/>
      <c r="O229" s="15"/>
      <c r="P229" s="15"/>
    </row>
    <row r="230" spans="1:16">
      <c r="A230" t="s">
        <v>274</v>
      </c>
      <c r="B230" s="11">
        <f t="shared" ref="B230:P230" si="22">-(202*$B$201+$B$202)*B165/($B$200)/25</f>
        <v>-3486.6433620480002</v>
      </c>
      <c r="C230" s="11">
        <f t="shared" si="22"/>
        <v>-3471.5352162623999</v>
      </c>
      <c r="D230" s="11">
        <f t="shared" si="22"/>
        <v>-3842.0652836159993</v>
      </c>
      <c r="E230" s="11">
        <f t="shared" si="22"/>
        <v>-3724.6916263871994</v>
      </c>
      <c r="F230" s="11">
        <f t="shared" si="22"/>
        <v>-3506.3481770687995</v>
      </c>
      <c r="G230" s="11">
        <f t="shared" si="22"/>
        <v>-3718.3081016255996</v>
      </c>
      <c r="H230" s="11">
        <f t="shared" si="22"/>
        <v>-3763.6196689727994</v>
      </c>
      <c r="I230" s="11">
        <f t="shared" si="22"/>
        <v>-3458.9487620351997</v>
      </c>
      <c r="J230" s="11">
        <f t="shared" si="22"/>
        <v>-3417.6401828352</v>
      </c>
      <c r="K230" s="11">
        <f t="shared" si="22"/>
        <v>-3582.1562700671998</v>
      </c>
      <c r="L230" s="11">
        <f t="shared" si="22"/>
        <v>-3469.8903460031997</v>
      </c>
      <c r="M230" s="11">
        <f t="shared" si="22"/>
        <v>-3553.7799747071999</v>
      </c>
      <c r="N230" s="11">
        <f t="shared" si="22"/>
        <v>-3508.113444191999</v>
      </c>
      <c r="O230" s="11">
        <f t="shared" si="22"/>
        <v>-3568.216389023999</v>
      </c>
      <c r="P230" s="11">
        <f t="shared" si="22"/>
        <v>-3525.3762786815996</v>
      </c>
    </row>
    <row r="231" spans="1:16">
      <c r="A231" t="s">
        <v>275</v>
      </c>
      <c r="B231" s="11">
        <f t="shared" ref="B231:P231" si="23">-(314*$B$201+$B$202)*B166/($B$200)/25</f>
        <v>-11116.599100056797</v>
      </c>
      <c r="C231" s="11">
        <f t="shared" si="23"/>
        <v>-10997.361989991998</v>
      </c>
      <c r="D231" s="11">
        <f t="shared" si="23"/>
        <v>-9764.8198774840002</v>
      </c>
      <c r="E231" s="11">
        <f t="shared" si="23"/>
        <v>-9556.7401641039996</v>
      </c>
      <c r="F231" s="11">
        <f t="shared" si="23"/>
        <v>-8968.9210212280013</v>
      </c>
      <c r="G231" s="11">
        <f t="shared" si="23"/>
        <v>-9487.2518930223978</v>
      </c>
      <c r="H231" s="11">
        <f t="shared" si="23"/>
        <v>-9527.1881036247996</v>
      </c>
      <c r="I231" s="11">
        <f t="shared" si="23"/>
        <v>-9194.2470159903987</v>
      </c>
      <c r="J231" s="11">
        <f t="shared" si="23"/>
        <v>-9158.4327285639993</v>
      </c>
      <c r="K231" s="11">
        <f t="shared" si="23"/>
        <v>-7973.8648993807992</v>
      </c>
      <c r="L231" s="11">
        <f t="shared" si="23"/>
        <v>-7965.4649488959985</v>
      </c>
      <c r="M231" s="11">
        <f t="shared" si="23"/>
        <v>-7905.6944826103991</v>
      </c>
      <c r="N231" s="11">
        <f t="shared" si="23"/>
        <v>-7946.0054721431989</v>
      </c>
      <c r="O231" s="11">
        <f t="shared" si="23"/>
        <v>-7873.3441587919997</v>
      </c>
      <c r="P231" s="11">
        <f t="shared" si="23"/>
        <v>-8000.600634885599</v>
      </c>
    </row>
    <row r="232" spans="1:16">
      <c r="A232" t="s">
        <v>276</v>
      </c>
      <c r="B232" s="11">
        <f t="shared" ref="B232:P232" si="24">-(365*$B$201+$B$202)*B167/($B$200)/25</f>
        <v>-705.80407950869994</v>
      </c>
      <c r="C232" s="11">
        <f t="shared" si="24"/>
        <v>-855.17623671875003</v>
      </c>
      <c r="D232" s="11">
        <f t="shared" si="24"/>
        <v>-405.07669339884995</v>
      </c>
      <c r="E232" s="11">
        <f t="shared" si="24"/>
        <v>-686.79733077265007</v>
      </c>
      <c r="F232" s="11">
        <f t="shared" si="24"/>
        <v>-481.97339086105001</v>
      </c>
      <c r="G232" s="11">
        <f t="shared" si="24"/>
        <v>-610.03708663654993</v>
      </c>
      <c r="H232" s="11">
        <f t="shared" si="24"/>
        <v>-587.60475962054988</v>
      </c>
      <c r="I232" s="11">
        <f t="shared" si="24"/>
        <v>-526.14978031414989</v>
      </c>
      <c r="J232" s="11">
        <f t="shared" si="24"/>
        <v>-546.12069925549997</v>
      </c>
      <c r="K232" s="11">
        <f t="shared" si="24"/>
        <v>-1595.6986907972998</v>
      </c>
      <c r="L232" s="11">
        <f t="shared" si="24"/>
        <v>-1704.5164696442998</v>
      </c>
      <c r="M232" s="11">
        <f t="shared" si="24"/>
        <v>-1595.4962600387998</v>
      </c>
      <c r="N232" s="11">
        <f t="shared" si="24"/>
        <v>-1651.5485873238999</v>
      </c>
      <c r="O232" s="11">
        <f t="shared" si="24"/>
        <v>-1697.33767515305</v>
      </c>
      <c r="P232" s="11">
        <f t="shared" si="24"/>
        <v>-1594.8874682762</v>
      </c>
    </row>
    <row r="233" spans="1:16">
      <c r="A233" t="s">
        <v>277</v>
      </c>
      <c r="B233" s="11">
        <f t="shared" ref="B233:P233" si="25">-(397*$B$201+$B$202)*B168/($B$200)/25</f>
        <v>-2.0385708749999999E-2</v>
      </c>
      <c r="C233" s="11">
        <f t="shared" si="25"/>
        <v>-14.5439800506</v>
      </c>
      <c r="D233" s="11">
        <f t="shared" si="25"/>
        <v>-32.377398065100003</v>
      </c>
      <c r="E233" s="11">
        <f t="shared" si="25"/>
        <v>-7.3991968478999999</v>
      </c>
      <c r="F233" s="11">
        <f t="shared" si="25"/>
        <v>-4.1586845850000005E-2</v>
      </c>
      <c r="G233" s="11">
        <f t="shared" si="25"/>
        <v>-19.359899885700003</v>
      </c>
      <c r="H233" s="11">
        <f t="shared" si="25"/>
        <v>-20.646645822</v>
      </c>
      <c r="I233" s="11">
        <f t="shared" si="25"/>
        <v>-19.956793437900004</v>
      </c>
      <c r="J233" s="11">
        <f t="shared" si="25"/>
        <v>-1.9570280400000001E-2</v>
      </c>
      <c r="K233" s="11">
        <f t="shared" si="25"/>
        <v>-8.3940194349000006</v>
      </c>
      <c r="L233" s="11">
        <f t="shared" si="25"/>
        <v>-9.8438510412000007</v>
      </c>
      <c r="M233" s="11">
        <f t="shared" si="25"/>
        <v>-7.3551637170000017</v>
      </c>
      <c r="N233" s="11">
        <f t="shared" si="25"/>
        <v>-15.794031711150001</v>
      </c>
      <c r="O233" s="11">
        <f t="shared" si="25"/>
        <v>-15.886175114700002</v>
      </c>
      <c r="P233" s="11">
        <f t="shared" si="25"/>
        <v>-10.65846396285</v>
      </c>
    </row>
    <row r="234" spans="1:16">
      <c r="A234" t="s">
        <v>286</v>
      </c>
      <c r="B234" s="11">
        <f t="shared" ref="B234:P234" si="26">IF(B65&lt;0.3,-(100*$B$201+$B$202),0)</f>
        <v>0</v>
      </c>
      <c r="C234" s="11">
        <f t="shared" si="26"/>
        <v>0</v>
      </c>
      <c r="D234" s="11">
        <f t="shared" si="26"/>
        <v>0</v>
      </c>
      <c r="E234" s="11">
        <f t="shared" si="26"/>
        <v>0</v>
      </c>
      <c r="F234" s="11">
        <f t="shared" si="26"/>
        <v>0</v>
      </c>
      <c r="G234" s="11">
        <f t="shared" si="26"/>
        <v>0</v>
      </c>
      <c r="H234" s="11">
        <f t="shared" si="26"/>
        <v>0</v>
      </c>
      <c r="I234" s="11">
        <f t="shared" si="26"/>
        <v>0</v>
      </c>
      <c r="J234" s="11">
        <f t="shared" si="26"/>
        <v>0</v>
      </c>
      <c r="K234" s="11">
        <f t="shared" si="26"/>
        <v>-41158.26</v>
      </c>
      <c r="L234" s="11">
        <f t="shared" si="26"/>
        <v>-41158.26</v>
      </c>
      <c r="M234" s="11">
        <f t="shared" si="26"/>
        <v>-41158.26</v>
      </c>
      <c r="N234" s="11">
        <f t="shared" si="26"/>
        <v>-41158.26</v>
      </c>
      <c r="O234" s="11">
        <f t="shared" si="26"/>
        <v>-41158.26</v>
      </c>
      <c r="P234" s="11">
        <f t="shared" si="26"/>
        <v>-41158.26</v>
      </c>
    </row>
    <row r="235" spans="1:16">
      <c r="C235" s="15"/>
      <c r="D235" s="15"/>
      <c r="E235" s="15"/>
      <c r="F235" s="15"/>
      <c r="G235" s="15"/>
      <c r="H235" s="15"/>
      <c r="I235" s="15"/>
      <c r="J235" s="15"/>
      <c r="K235" s="15"/>
      <c r="L235" s="15"/>
      <c r="M235" s="15"/>
      <c r="N235" s="15"/>
      <c r="O235" s="15"/>
      <c r="P235" s="15"/>
    </row>
    <row r="236" spans="1:16">
      <c r="A236" t="s">
        <v>279</v>
      </c>
      <c r="C236" s="15"/>
      <c r="D236" s="15"/>
      <c r="E236" s="15"/>
      <c r="F236" s="15"/>
      <c r="G236" s="15"/>
      <c r="H236" s="15"/>
      <c r="I236" s="15"/>
      <c r="J236" s="15"/>
      <c r="K236" s="15"/>
      <c r="L236" s="15"/>
      <c r="M236" s="15"/>
      <c r="N236" s="15"/>
      <c r="O236" s="15"/>
      <c r="P236" s="15"/>
    </row>
    <row r="237" spans="1:16">
      <c r="A237" t="s">
        <v>274</v>
      </c>
      <c r="B237" s="11">
        <f t="shared" ref="B237:P237" si="27">-$B204*B165/25</f>
        <v>-53012.462844000001</v>
      </c>
      <c r="C237" s="11">
        <f t="shared" si="27"/>
        <v>-52782.751934700005</v>
      </c>
      <c r="D237" s="11">
        <f t="shared" si="27"/>
        <v>-58416.454435500011</v>
      </c>
      <c r="E237" s="11">
        <f t="shared" si="27"/>
        <v>-56631.853604100004</v>
      </c>
      <c r="F237" s="11">
        <f t="shared" si="27"/>
        <v>-53312.063538900002</v>
      </c>
      <c r="G237" s="11">
        <f t="shared" si="27"/>
        <v>-56534.795679300005</v>
      </c>
      <c r="H237" s="11">
        <f t="shared" si="27"/>
        <v>-57223.732725900001</v>
      </c>
      <c r="I237" s="11">
        <f t="shared" si="27"/>
        <v>-52591.381935600002</v>
      </c>
      <c r="J237" s="11">
        <f t="shared" si="27"/>
        <v>-51963.308085600009</v>
      </c>
      <c r="K237" s="11">
        <f t="shared" si="27"/>
        <v>-54464.683206600006</v>
      </c>
      <c r="L237" s="11">
        <f t="shared" si="27"/>
        <v>-52757.742602100006</v>
      </c>
      <c r="M237" s="11">
        <f t="shared" si="27"/>
        <v>-54033.237501600001</v>
      </c>
      <c r="N237" s="11">
        <f t="shared" si="27"/>
        <v>-53338.903438499998</v>
      </c>
      <c r="O237" s="11">
        <f t="shared" si="27"/>
        <v>-54252.735109499998</v>
      </c>
      <c r="P237" s="11">
        <f t="shared" si="27"/>
        <v>-53601.375184800003</v>
      </c>
    </row>
    <row r="238" spans="1:16">
      <c r="A238" t="s">
        <v>275</v>
      </c>
      <c r="B238" s="11">
        <f t="shared" ref="B238:P238" si="28">-$B205*B166/25</f>
        <v>-113415.2354847</v>
      </c>
      <c r="C238" s="11">
        <f t="shared" si="28"/>
        <v>-112198.738893</v>
      </c>
      <c r="D238" s="11">
        <f t="shared" si="28"/>
        <v>-99623.934973500014</v>
      </c>
      <c r="E238" s="11">
        <f t="shared" si="28"/>
        <v>-97501.036641000013</v>
      </c>
      <c r="F238" s="11">
        <f t="shared" si="28"/>
        <v>-91503.910549500026</v>
      </c>
      <c r="G238" s="11">
        <f t="shared" si="28"/>
        <v>-96792.094224600005</v>
      </c>
      <c r="H238" s="11">
        <f t="shared" si="28"/>
        <v>-97199.536706700004</v>
      </c>
      <c r="I238" s="11">
        <f t="shared" si="28"/>
        <v>-93802.761171600025</v>
      </c>
      <c r="J238" s="11">
        <f t="shared" si="28"/>
        <v>-93437.371918500008</v>
      </c>
      <c r="K238" s="11">
        <f t="shared" si="28"/>
        <v>-81352.017568200012</v>
      </c>
      <c r="L238" s="11">
        <f t="shared" si="28"/>
        <v>-81266.318484000003</v>
      </c>
      <c r="M238" s="11">
        <f t="shared" si="28"/>
        <v>-80656.52033910001</v>
      </c>
      <c r="N238" s="11">
        <f t="shared" si="28"/>
        <v>-81067.786440300013</v>
      </c>
      <c r="O238" s="11">
        <f t="shared" si="28"/>
        <v>-80326.471593000009</v>
      </c>
      <c r="P238" s="11">
        <f t="shared" si="28"/>
        <v>-81624.784419899996</v>
      </c>
    </row>
    <row r="239" spans="1:16">
      <c r="A239" t="s">
        <v>276</v>
      </c>
      <c r="B239" s="11">
        <f t="shared" ref="B239:P239" si="29">-$B206*B167/25</f>
        <v>-6310.6346790000016</v>
      </c>
      <c r="C239" s="11">
        <f t="shared" si="29"/>
        <v>-7646.1796875000009</v>
      </c>
      <c r="D239" s="11">
        <f t="shared" si="29"/>
        <v>-3621.8139045000007</v>
      </c>
      <c r="E239" s="11">
        <f t="shared" si="29"/>
        <v>-6140.6942505000006</v>
      </c>
      <c r="F239" s="11">
        <f t="shared" si="29"/>
        <v>-4309.3516785000011</v>
      </c>
      <c r="G239" s="11">
        <f t="shared" si="29"/>
        <v>-5454.3765135000003</v>
      </c>
      <c r="H239" s="11">
        <f t="shared" si="29"/>
        <v>-5253.807793500001</v>
      </c>
      <c r="I239" s="11">
        <f t="shared" si="29"/>
        <v>-4704.3353055000007</v>
      </c>
      <c r="J239" s="11">
        <f t="shared" si="29"/>
        <v>-4882.8964350000015</v>
      </c>
      <c r="K239" s="11">
        <f t="shared" si="29"/>
        <v>-14267.233341000001</v>
      </c>
      <c r="L239" s="11">
        <f t="shared" si="29"/>
        <v>-15240.179331000003</v>
      </c>
      <c r="M239" s="11">
        <f t="shared" si="29"/>
        <v>-14265.423396000004</v>
      </c>
      <c r="N239" s="11">
        <f t="shared" si="29"/>
        <v>-14766.590463000002</v>
      </c>
      <c r="O239" s="11">
        <f t="shared" si="29"/>
        <v>-15175.993318500003</v>
      </c>
      <c r="P239" s="11">
        <f t="shared" si="29"/>
        <v>-14259.980154000001</v>
      </c>
    </row>
    <row r="240" spans="1:16">
      <c r="A240" t="s">
        <v>277</v>
      </c>
      <c r="B240" s="11">
        <f t="shared" ref="B240:P240" si="30">-$B207*B168/25</f>
        <v>-0.17142244565217393</v>
      </c>
      <c r="C240" s="11">
        <f t="shared" si="30"/>
        <v>-122.29962962608697</v>
      </c>
      <c r="D240" s="11">
        <f t="shared" si="30"/>
        <v>-272.25998508260875</v>
      </c>
      <c r="E240" s="11">
        <f t="shared" si="30"/>
        <v>-62.219490873913045</v>
      </c>
      <c r="F240" s="11">
        <f t="shared" si="30"/>
        <v>-0.34970178913043481</v>
      </c>
      <c r="G240" s="11">
        <f t="shared" si="30"/>
        <v>-162.79646818695653</v>
      </c>
      <c r="H240" s="11">
        <f t="shared" si="30"/>
        <v>-173.61665295652176</v>
      </c>
      <c r="I240" s="11">
        <f t="shared" si="30"/>
        <v>-167.8157173956522</v>
      </c>
      <c r="J240" s="11">
        <f t="shared" si="30"/>
        <v>-0.16456554782608696</v>
      </c>
      <c r="K240" s="11">
        <f t="shared" si="30"/>
        <v>-70.584906221739132</v>
      </c>
      <c r="L240" s="11">
        <f t="shared" si="30"/>
        <v>-82.776470556521744</v>
      </c>
      <c r="M240" s="11">
        <f t="shared" si="30"/>
        <v>-61.849218391304355</v>
      </c>
      <c r="N240" s="11">
        <f t="shared" si="30"/>
        <v>-132.81125399347829</v>
      </c>
      <c r="O240" s="11">
        <f t="shared" si="30"/>
        <v>-133.5860834478261</v>
      </c>
      <c r="P240" s="11">
        <f t="shared" si="30"/>
        <v>-89.626511484782625</v>
      </c>
    </row>
    <row r="241" spans="1:23">
      <c r="E241" s="15"/>
      <c r="F241" s="15"/>
      <c r="G241" s="15"/>
      <c r="H241" s="15"/>
      <c r="I241" s="15"/>
      <c r="J241" s="15"/>
      <c r="K241" s="15"/>
      <c r="L241" s="15"/>
      <c r="M241" s="15"/>
      <c r="N241" s="15"/>
      <c r="O241" s="15"/>
      <c r="P241" s="15"/>
    </row>
    <row r="242" spans="1:23">
      <c r="A242" t="s">
        <v>231</v>
      </c>
      <c r="B242" s="2">
        <f t="shared" ref="B242:P242" si="31">B50*24*365</f>
        <v>110638.8</v>
      </c>
      <c r="C242" s="2">
        <f t="shared" si="31"/>
        <v>110638.8</v>
      </c>
      <c r="D242" s="2">
        <f t="shared" si="31"/>
        <v>98725.200000000012</v>
      </c>
      <c r="E242" s="2">
        <f t="shared" si="31"/>
        <v>93994.799999999988</v>
      </c>
      <c r="F242" s="2">
        <f t="shared" si="31"/>
        <v>77350.8</v>
      </c>
      <c r="G242" s="2">
        <f t="shared" si="31"/>
        <v>88388.4</v>
      </c>
      <c r="H242" s="2">
        <f t="shared" si="31"/>
        <v>88300.800000000003</v>
      </c>
      <c r="I242" s="2">
        <f t="shared" si="31"/>
        <v>72620.399999999994</v>
      </c>
      <c r="J242" s="2">
        <f t="shared" si="31"/>
        <v>72620.399999999994</v>
      </c>
      <c r="K242" s="2">
        <f t="shared" si="31"/>
        <v>33550.800000000003</v>
      </c>
      <c r="L242" s="2">
        <f t="shared" si="31"/>
        <v>31448.399999999998</v>
      </c>
      <c r="M242" s="2">
        <f t="shared" si="31"/>
        <v>31886.400000000001</v>
      </c>
      <c r="N242" s="2">
        <f t="shared" si="31"/>
        <v>29696.400000000001</v>
      </c>
      <c r="O242" s="2">
        <f t="shared" si="31"/>
        <v>28294.799999999999</v>
      </c>
      <c r="P242" s="2">
        <f t="shared" si="31"/>
        <v>28995.599999999999</v>
      </c>
    </row>
    <row r="243" spans="1:23">
      <c r="A243" t="s">
        <v>224</v>
      </c>
      <c r="B243" s="2">
        <f t="shared" ref="B243:P243" si="32">(B41+B40)/$B$178/$B$179/25-B51</f>
        <v>27538.317714392168</v>
      </c>
      <c r="C243" s="2">
        <f t="shared" si="32"/>
        <v>27538.336695842183</v>
      </c>
      <c r="D243" s="2">
        <f t="shared" si="32"/>
        <v>28387.816695842183</v>
      </c>
      <c r="E243" s="2">
        <f t="shared" si="32"/>
        <v>28092.197714392169</v>
      </c>
      <c r="F243" s="2">
        <f t="shared" si="32"/>
        <v>28946.237714392169</v>
      </c>
      <c r="G243" s="2">
        <f t="shared" si="32"/>
        <v>25858.377714392169</v>
      </c>
      <c r="H243" s="2">
        <f t="shared" si="32"/>
        <v>25858.377714392169</v>
      </c>
      <c r="I243" s="2">
        <f t="shared" si="32"/>
        <v>26192.217714392169</v>
      </c>
      <c r="J243" s="2">
        <f t="shared" si="32"/>
        <v>26197.887714392171</v>
      </c>
      <c r="K243" s="2">
        <f t="shared" si="32"/>
        <v>24719.067714392168</v>
      </c>
      <c r="L243" s="2">
        <f t="shared" si="32"/>
        <v>23273.577714392166</v>
      </c>
      <c r="M243" s="2">
        <f t="shared" si="32"/>
        <v>23223.236695842184</v>
      </c>
      <c r="N243" s="2">
        <f t="shared" si="32"/>
        <v>21402.986695842184</v>
      </c>
      <c r="O243" s="2">
        <f t="shared" si="32"/>
        <v>17513.907714392168</v>
      </c>
      <c r="P243" s="2">
        <f t="shared" si="32"/>
        <v>17469.076695842185</v>
      </c>
    </row>
    <row r="244" spans="1:23">
      <c r="A244" t="s">
        <v>232</v>
      </c>
      <c r="B244" s="2">
        <f t="shared" ref="B244:P244" si="33">B242+B243</f>
        <v>138177.11771439217</v>
      </c>
      <c r="C244" s="2">
        <f t="shared" si="33"/>
        <v>138177.1366958422</v>
      </c>
      <c r="D244" s="2">
        <f t="shared" si="33"/>
        <v>127113.01669584219</v>
      </c>
      <c r="E244" s="2">
        <f t="shared" si="33"/>
        <v>122086.99771439216</v>
      </c>
      <c r="F244" s="2">
        <f t="shared" si="33"/>
        <v>106297.03771439218</v>
      </c>
      <c r="G244" s="2">
        <f t="shared" si="33"/>
        <v>114246.77771439217</v>
      </c>
      <c r="H244" s="2">
        <f t="shared" si="33"/>
        <v>114159.17771439216</v>
      </c>
      <c r="I244" s="2">
        <f t="shared" si="33"/>
        <v>98812.617714392167</v>
      </c>
      <c r="J244" s="2">
        <f t="shared" si="33"/>
        <v>98818.287714392165</v>
      </c>
      <c r="K244" s="2">
        <f t="shared" si="33"/>
        <v>58269.867714392167</v>
      </c>
      <c r="L244" s="2">
        <f t="shared" si="33"/>
        <v>54721.977714392167</v>
      </c>
      <c r="M244" s="2">
        <f t="shared" si="33"/>
        <v>55109.636695842186</v>
      </c>
      <c r="N244" s="2">
        <f t="shared" si="33"/>
        <v>51099.386695842186</v>
      </c>
      <c r="O244" s="2">
        <f t="shared" si="33"/>
        <v>45808.707714392163</v>
      </c>
      <c r="P244" s="2">
        <f t="shared" si="33"/>
        <v>46464.676695842179</v>
      </c>
    </row>
    <row r="245" spans="1:23">
      <c r="B245" s="2"/>
      <c r="C245" s="2"/>
      <c r="D245" s="2"/>
      <c r="E245" s="2"/>
      <c r="F245" s="2"/>
      <c r="G245" s="2"/>
      <c r="H245" s="2"/>
      <c r="I245" s="2"/>
      <c r="J245" s="2"/>
      <c r="K245" s="2"/>
      <c r="L245" s="2"/>
      <c r="M245" s="2"/>
      <c r="N245" s="2"/>
      <c r="O245" s="2"/>
      <c r="P245" s="2"/>
    </row>
    <row r="246" spans="1:23">
      <c r="A246" t="s">
        <v>330</v>
      </c>
      <c r="B246" s="2">
        <f>IF(B45="No Generator",0,IF(B45="WG 100",1,IF(B45="WG 200",2,IF(B45="WG 300",3,IF(B45="WG 400",4,IF(B45="WG 500",5))))))</f>
        <v>0</v>
      </c>
      <c r="C246" s="2">
        <f>IF(C45="No Generator",0,IF(C45="WG 100",1,IF(C45="WG 200",2,IF(C45="WG 300",3,IF(C45="WG 400",4,IF(C45="WG 500",5))))))</f>
        <v>0</v>
      </c>
      <c r="D246" s="2">
        <f>IF(D45="No Generator",0,IF(D45="WG 100",1,IF(D45="WG 200",2,IF(D45="WG 300",3,IF(D45="WG 400",4,IF(D45="WG 500",5))))))</f>
        <v>0</v>
      </c>
      <c r="E246" s="2">
        <f>IF(E45="No Generator",0,IF(E45="WG 100",1,IF(E45="WG 200",2,IF(E45="WG 300",3,IF(E45="WG 400",4,IF(E45="WG 500",5))))))</f>
        <v>0</v>
      </c>
      <c r="F246" s="2">
        <f>IF(F45="No Generator",0,IF(F45="WG 100",1,IF(F45="WG 200",2,IF(F45="WG 300",3,IF(F45="WG 400",4,IF(F45="WG 500",5))))))</f>
        <v>1</v>
      </c>
      <c r="G246" s="2">
        <f t="shared" ref="G246:P246" si="34">IF(G45="No Generator",0,IF(G45="WG 100",1,IF(G45="WG 200",2,IF(G45="WG 300",3,IF(G45="WG 400",4,IF(G45="WG 500",5))))))</f>
        <v>0</v>
      </c>
      <c r="H246" s="2">
        <f t="shared" si="34"/>
        <v>0</v>
      </c>
      <c r="I246" s="2">
        <f t="shared" si="34"/>
        <v>1</v>
      </c>
      <c r="J246" s="2">
        <f t="shared" si="34"/>
        <v>1</v>
      </c>
      <c r="K246" s="2">
        <f t="shared" si="34"/>
        <v>5</v>
      </c>
      <c r="L246" s="2">
        <f t="shared" si="34"/>
        <v>5</v>
      </c>
      <c r="M246" s="2">
        <f t="shared" si="34"/>
        <v>5</v>
      </c>
      <c r="N246" s="2">
        <f t="shared" si="34"/>
        <v>5</v>
      </c>
      <c r="O246" s="2">
        <f t="shared" si="34"/>
        <v>5</v>
      </c>
      <c r="P246" s="2">
        <f t="shared" si="34"/>
        <v>5</v>
      </c>
      <c r="Q246" s="2"/>
      <c r="R246" s="2"/>
      <c r="S246" s="2"/>
      <c r="T246" s="2"/>
      <c r="U246" s="2"/>
      <c r="V246" s="2"/>
      <c r="W246" s="2"/>
    </row>
    <row r="247" spans="1:23">
      <c r="A247" t="s">
        <v>331</v>
      </c>
      <c r="B247" s="2">
        <f>IF(B43="No Generator",0,IF(B43="SG 100",1,IF(B43="SG 200",2,IF(B43="SG 300",3,IF(B43="SG 400",4,IF(B43="SG 500",5))))))</f>
        <v>0</v>
      </c>
      <c r="C247" s="2">
        <f t="shared" ref="C247:P247" si="35">IF(C43="No Generator",0,IF(C43="SG 100",1,IF(C43="SG 200",2,IF(C43="SG 300",3,IF(C43="SG 400",4,IF(C43="SG 500",5))))))</f>
        <v>0</v>
      </c>
      <c r="D247" s="2">
        <f t="shared" si="35"/>
        <v>2</v>
      </c>
      <c r="E247" s="2">
        <f t="shared" si="35"/>
        <v>3</v>
      </c>
      <c r="F247" s="2">
        <f t="shared" si="35"/>
        <v>3</v>
      </c>
      <c r="G247" s="2">
        <f t="shared" si="35"/>
        <v>5</v>
      </c>
      <c r="H247" s="2">
        <f t="shared" si="35"/>
        <v>5</v>
      </c>
      <c r="I247" s="2">
        <f t="shared" si="35"/>
        <v>5</v>
      </c>
      <c r="J247" s="2">
        <f t="shared" si="35"/>
        <v>5</v>
      </c>
      <c r="K247" s="2">
        <f t="shared" si="35"/>
        <v>1</v>
      </c>
      <c r="L247" s="2">
        <f t="shared" si="35"/>
        <v>2</v>
      </c>
      <c r="M247" s="2">
        <f t="shared" si="35"/>
        <v>2</v>
      </c>
      <c r="N247" s="2">
        <f t="shared" si="35"/>
        <v>3</v>
      </c>
      <c r="O247" s="2">
        <f t="shared" si="35"/>
        <v>5</v>
      </c>
      <c r="P247" s="2">
        <f t="shared" si="35"/>
        <v>5</v>
      </c>
      <c r="Q247" s="2"/>
      <c r="R247" s="2"/>
      <c r="S247" s="2"/>
      <c r="T247" s="2"/>
      <c r="U247" s="2"/>
      <c r="V247" s="2"/>
      <c r="W247" s="2"/>
    </row>
    <row r="248" spans="1:23">
      <c r="A248" t="s">
        <v>339</v>
      </c>
      <c r="B248" s="11">
        <f>-IF(B246=0,0,IF(B246=1,$B$209*(1),IF(B246=2,$B$209*(1+0.95),IF(B246=3,$B$209*(1+0.95+0.9),IF(B246=4,$B$209*(1+0.95+0.9+0.85),IF(B246=5,$B$209*(1+0.95+0.9+0.85+0.8)))))))</f>
        <v>0</v>
      </c>
      <c r="C248" s="11">
        <f>-IF(C246=0,0,IF(C246=1,$B$209*(1),IF(C246=2,$B$209*(1+0.95),IF(C246=3,$B$209*(1+0.95+0.9),IF(C246=4,$B$209*(1+0.95+0.9+0.85),IF(C246=5,$B$209*(1+0.95+0.9+0.85+0.8)))))))</f>
        <v>0</v>
      </c>
      <c r="D248" s="11">
        <f>-IF(D246=0,0,IF(D246=1,$B$209*(1),IF(D246=2,$B$209*(1+0.95),IF(D246=3,$B$209*(1+0.95+0.9),IF(D246=4,$B$209*(1+0.95+0.9+0.85),IF(D246=5,$B$209*(1+0.95+0.9+0.85+0.8)))))))</f>
        <v>0</v>
      </c>
      <c r="E248" s="11">
        <f>-IF(E246=0,0,IF(E246=1,$B$209*(1),IF(E246=2,$B$209*(1+0.95),IF(E246=3,$B$209*(1+0.95+0.9),IF(E246=4,$B$209*(1+0.95+0.9+0.85),IF(E246=5,$B$209*(1+0.95+0.9+0.85+0.8)))))))</f>
        <v>0</v>
      </c>
      <c r="F248" s="11">
        <f>-IF(F246=0,0,IF(F246=1,$B$209*(1),IF(F246=2,$B$209*(1+0.95),IF(F246=3,$B$209*(1+0.95+0.9),IF(F246=4,$B$209*(1+0.95+0.9+0.85),IF(F246=5,$B$209*(1+0.95+0.9+0.85+0.8)))))))</f>
        <v>-560000</v>
      </c>
      <c r="G248" s="11">
        <f t="shared" ref="G248:P248" si="36">-IF(G246=0,0,IF(G246=1,$B$209*(1),IF(G246=2,$B$209*(1+0.95),IF(G246=3,$B$209*(1+0.95+0.9),IF(G246=4,$B$209*(1+0.95+0.9+0.85),IF(G246=5,$B$209*(1+0.95+0.9+0.85+0.8)))))))</f>
        <v>0</v>
      </c>
      <c r="H248" s="11">
        <f t="shared" si="36"/>
        <v>0</v>
      </c>
      <c r="I248" s="11">
        <f t="shared" si="36"/>
        <v>-560000</v>
      </c>
      <c r="J248" s="11">
        <f t="shared" si="36"/>
        <v>-560000</v>
      </c>
      <c r="K248" s="11">
        <f t="shared" si="36"/>
        <v>-2520000</v>
      </c>
      <c r="L248" s="11">
        <f t="shared" si="36"/>
        <v>-2520000</v>
      </c>
      <c r="M248" s="11">
        <f t="shared" si="36"/>
        <v>-2520000</v>
      </c>
      <c r="N248" s="11">
        <f t="shared" si="36"/>
        <v>-2520000</v>
      </c>
      <c r="O248" s="11">
        <f t="shared" si="36"/>
        <v>-2520000</v>
      </c>
      <c r="P248" s="11">
        <f t="shared" si="36"/>
        <v>-2520000</v>
      </c>
      <c r="Q248" s="11"/>
      <c r="R248" s="11"/>
      <c r="S248" s="11"/>
      <c r="T248" s="11"/>
      <c r="U248" s="11"/>
      <c r="V248" s="11"/>
      <c r="W248" s="11"/>
    </row>
    <row r="249" spans="1:23">
      <c r="A249" t="s">
        <v>352</v>
      </c>
      <c r="B249" s="11">
        <v>0</v>
      </c>
      <c r="C249" s="11">
        <v>0</v>
      </c>
      <c r="D249" s="11">
        <v>0</v>
      </c>
      <c r="E249" s="11">
        <v>0</v>
      </c>
      <c r="F249" s="11">
        <v>0</v>
      </c>
      <c r="G249" s="11">
        <v>0</v>
      </c>
      <c r="H249" s="11">
        <v>0</v>
      </c>
      <c r="I249" s="11">
        <v>0</v>
      </c>
      <c r="J249" s="11">
        <v>0</v>
      </c>
      <c r="K249" s="11">
        <v>0</v>
      </c>
      <c r="L249" s="11">
        <v>0</v>
      </c>
      <c r="M249" s="11">
        <v>0</v>
      </c>
      <c r="N249" s="11">
        <v>0</v>
      </c>
      <c r="O249" s="11">
        <v>0</v>
      </c>
      <c r="P249" s="11">
        <v>0</v>
      </c>
      <c r="Q249" s="11"/>
      <c r="R249" s="11"/>
      <c r="S249" s="11"/>
      <c r="T249" s="11"/>
      <c r="U249" s="11"/>
      <c r="V249" s="11"/>
      <c r="W249" s="11"/>
    </row>
    <row r="250" spans="1:23">
      <c r="A250" t="s">
        <v>336</v>
      </c>
      <c r="B250" s="11">
        <f>-NPV($B$173,0,0,0,0,0,0,0,0,0,0,875*B247*100)</f>
        <v>0</v>
      </c>
      <c r="C250" s="11">
        <f>-NPV($B$173,0,0,0,0,0,0,0,0,0,0,875*C247*100)</f>
        <v>0</v>
      </c>
      <c r="D250" s="11">
        <f t="shared" ref="D250:P250" si="37">-NPV($B$173,0,0,0,0,0,0,0,0,0,0,875*D247*100)</f>
        <v>-126423.72340478336</v>
      </c>
      <c r="E250" s="11">
        <f t="shared" si="37"/>
        <v>-189635.58510717505</v>
      </c>
      <c r="F250" s="11">
        <f>-NPV($B$173,0,0,0,0,0,0,0,0,0,0,875*F247*100)</f>
        <v>-189635.58510717505</v>
      </c>
      <c r="G250" s="11">
        <f t="shared" si="37"/>
        <v>-316059.3085119584</v>
      </c>
      <c r="H250" s="11">
        <f t="shared" si="37"/>
        <v>-316059.3085119584</v>
      </c>
      <c r="I250" s="11">
        <f t="shared" si="37"/>
        <v>-316059.3085119584</v>
      </c>
      <c r="J250" s="11">
        <f t="shared" si="37"/>
        <v>-316059.3085119584</v>
      </c>
      <c r="K250" s="11">
        <f t="shared" si="37"/>
        <v>-63211.861702391681</v>
      </c>
      <c r="L250" s="11">
        <f t="shared" si="37"/>
        <v>-126423.72340478336</v>
      </c>
      <c r="M250" s="11">
        <f t="shared" si="37"/>
        <v>-126423.72340478336</v>
      </c>
      <c r="N250" s="11">
        <f t="shared" si="37"/>
        <v>-189635.58510717505</v>
      </c>
      <c r="O250" s="11">
        <f t="shared" si="37"/>
        <v>-316059.3085119584</v>
      </c>
      <c r="P250" s="11">
        <f t="shared" si="37"/>
        <v>-316059.3085119584</v>
      </c>
      <c r="Q250" s="11"/>
      <c r="R250" s="11"/>
      <c r="S250" s="11"/>
      <c r="T250" s="11"/>
      <c r="U250" s="11"/>
      <c r="V250" s="11"/>
      <c r="W250" s="11"/>
    </row>
    <row r="251" spans="1:23">
      <c r="A251" t="s">
        <v>340</v>
      </c>
      <c r="B251" s="11">
        <f>-IF(B247=0,0,IF(B247=1,17500*(1),IF(B247=2,17500*(1+0.975),IF(B247=3,17500*(1+0.975+0.95),IF(B247=4,17500*(1+0.975+0.95+0.925),IF(B247=5,17500*(1+0.975+0.95+0.925+0.9)))))))</f>
        <v>0</v>
      </c>
      <c r="C251" s="11">
        <f>-IF(C247=0,0,IF(C247=1,17500*(1),IF(C247=2,17500*(1+0.975),IF(C247=3,17500*(1+0.975+0.95),IF(C247=4,17500*(1+0.975+0.95+0.925),IF(C247=5,17500*(1+0.975+0.95+0.925+0.9)))))))</f>
        <v>0</v>
      </c>
      <c r="D251" s="11">
        <f>-IF(D247=0,0,IF(D247=1,17500*(1),IF(D247=2,17500*(1+0.975),IF(D247=3,17500*(1+0.975+0.95),IF(D247=4,17500*(1+0.975+0.95+0.925),IF(D247=5,17500*(1+0.975+0.95+0.925+0.9)))))))</f>
        <v>-34562.5</v>
      </c>
      <c r="E251" s="11">
        <f>-IF(E247=0,0,IF(E247=1,17500*(1),IF(E247=2,17500*(1+0.975),IF(E247=3,17500*(1+0.975+0.95),IF(E247=4,17500*(1+0.975+0.95+0.925),IF(E247=5,17500*(1+0.975+0.95+0.925+0.9)))))))</f>
        <v>-51187.5</v>
      </c>
      <c r="F251" s="11">
        <f>-IF(F247=0,0,IF(F247=1,17500*(1),IF(F247=2,17500*(1+0.975),IF(F247=3,17500*(1+0.975+0.95),IF(F247=4,17500*(1+0.975+0.95+0.925),IF(F247=5,17500*(1+0.975+0.95+0.925+0.9)))))))</f>
        <v>-51187.5</v>
      </c>
      <c r="G251" s="11">
        <f t="shared" ref="G251:P251" si="38">-IF(G247=0,0,IF(G247=1,17500*(1),IF(G247=2,17500*(1+0.975),IF(G247=3,17500*(1+0.975+0.95),IF(G247=4,17500*(1+0.975+0.95+0.925),IF(G247=5,17500*(1+0.975+0.95+0.925+0.9)))))))</f>
        <v>-83125</v>
      </c>
      <c r="H251" s="11">
        <f t="shared" si="38"/>
        <v>-83125</v>
      </c>
      <c r="I251" s="11">
        <f t="shared" si="38"/>
        <v>-83125</v>
      </c>
      <c r="J251" s="11">
        <f t="shared" si="38"/>
        <v>-83125</v>
      </c>
      <c r="K251" s="11">
        <f t="shared" si="38"/>
        <v>-17500</v>
      </c>
      <c r="L251" s="11">
        <f t="shared" si="38"/>
        <v>-34562.5</v>
      </c>
      <c r="M251" s="11">
        <f t="shared" si="38"/>
        <v>-34562.5</v>
      </c>
      <c r="N251" s="11">
        <f t="shared" si="38"/>
        <v>-51187.5</v>
      </c>
      <c r="O251" s="11">
        <f t="shared" si="38"/>
        <v>-83125</v>
      </c>
      <c r="P251" s="11">
        <f t="shared" si="38"/>
        <v>-83125</v>
      </c>
      <c r="Q251" s="11"/>
      <c r="R251" s="11"/>
      <c r="S251" s="11"/>
      <c r="T251" s="11"/>
      <c r="U251" s="11"/>
      <c r="V251" s="11"/>
      <c r="W251" s="11"/>
    </row>
    <row r="252" spans="1:23">
      <c r="A252" t="s">
        <v>341</v>
      </c>
      <c r="B252" s="11">
        <f t="shared" ref="B252:P252" si="39">-B247*$B$211*24*365</f>
        <v>0</v>
      </c>
      <c r="C252" s="11">
        <f t="shared" si="39"/>
        <v>0</v>
      </c>
      <c r="D252" s="11">
        <f t="shared" si="39"/>
        <v>-9460.8000000000011</v>
      </c>
      <c r="E252" s="11">
        <f t="shared" si="39"/>
        <v>-14191.2</v>
      </c>
      <c r="F252" s="11">
        <f t="shared" si="39"/>
        <v>-14191.2</v>
      </c>
      <c r="G252" s="11">
        <f t="shared" si="39"/>
        <v>-23652.000000000004</v>
      </c>
      <c r="H252" s="11">
        <f t="shared" si="39"/>
        <v>-23652.000000000004</v>
      </c>
      <c r="I252" s="11">
        <f t="shared" si="39"/>
        <v>-23652.000000000004</v>
      </c>
      <c r="J252" s="11">
        <f t="shared" si="39"/>
        <v>-23652.000000000004</v>
      </c>
      <c r="K252" s="11">
        <f t="shared" si="39"/>
        <v>-4730.4000000000005</v>
      </c>
      <c r="L252" s="11">
        <f t="shared" si="39"/>
        <v>-9460.8000000000011</v>
      </c>
      <c r="M252" s="11">
        <f t="shared" si="39"/>
        <v>-9460.8000000000011</v>
      </c>
      <c r="N252" s="11">
        <f t="shared" si="39"/>
        <v>-14191.2</v>
      </c>
      <c r="O252" s="11">
        <f t="shared" si="39"/>
        <v>-23652.000000000004</v>
      </c>
      <c r="P252" s="11">
        <f t="shared" si="39"/>
        <v>-23652.000000000004</v>
      </c>
      <c r="Q252" s="11"/>
      <c r="R252" s="11"/>
      <c r="S252" s="11"/>
      <c r="T252" s="11"/>
      <c r="U252" s="11"/>
      <c r="V252" s="11"/>
      <c r="W252" s="11"/>
    </row>
    <row r="253" spans="1:23">
      <c r="B253" s="2"/>
      <c r="C253" s="2"/>
      <c r="D253" s="2"/>
      <c r="E253" s="2"/>
      <c r="F253" s="2"/>
      <c r="G253" s="2"/>
      <c r="H253" s="2"/>
      <c r="I253" s="2"/>
      <c r="J253" s="2"/>
      <c r="K253" s="2"/>
      <c r="L253" s="2"/>
      <c r="M253" s="2"/>
      <c r="N253" s="2"/>
      <c r="O253" s="2"/>
      <c r="P253" s="2"/>
    </row>
    <row r="254" spans="1:23">
      <c r="A254" t="s">
        <v>337</v>
      </c>
      <c r="B254" s="2"/>
      <c r="C254" s="2"/>
      <c r="D254" s="2"/>
      <c r="E254" s="2"/>
      <c r="F254" s="2"/>
      <c r="G254" s="2"/>
      <c r="H254" s="2"/>
      <c r="I254" s="2"/>
      <c r="J254" s="2"/>
      <c r="K254" s="2"/>
      <c r="L254" s="2"/>
      <c r="M254" s="2"/>
      <c r="N254" s="2"/>
      <c r="O254" s="2"/>
      <c r="P254" s="2"/>
      <c r="Q254" s="2"/>
    </row>
    <row r="255" spans="1:23">
      <c r="A255" t="s">
        <v>100</v>
      </c>
      <c r="B255" s="2"/>
      <c r="C255" s="2"/>
      <c r="D255" s="2"/>
      <c r="E255" s="2"/>
      <c r="F255" s="2"/>
      <c r="G255" s="2"/>
      <c r="H255" s="2"/>
      <c r="I255" s="2"/>
      <c r="J255" s="2"/>
      <c r="K255" s="2"/>
      <c r="L255" s="2"/>
      <c r="M255" s="2"/>
      <c r="N255" s="2"/>
      <c r="O255" s="2"/>
      <c r="P255" s="2"/>
      <c r="Q255" s="2"/>
    </row>
    <row r="256" spans="1:23">
      <c r="A256">
        <v>1</v>
      </c>
      <c r="B256" s="11">
        <f t="shared" ref="B256:P256" si="40">SUM(B237:B240,B230:B233,B251:B252)</f>
        <v>-188047.57135746791</v>
      </c>
      <c r="C256" s="11">
        <f t="shared" si="40"/>
        <v>-188088.58756784984</v>
      </c>
      <c r="D256" s="11">
        <f t="shared" si="40"/>
        <v>-220002.10255114656</v>
      </c>
      <c r="E256" s="11">
        <f t="shared" si="40"/>
        <v>-239690.13230458571</v>
      </c>
      <c r="F256" s="11">
        <f t="shared" si="40"/>
        <v>-227461.65964469285</v>
      </c>
      <c r="G256" s="11">
        <f t="shared" si="40"/>
        <v>-279556.01986675721</v>
      </c>
      <c r="H256" s="11">
        <f t="shared" si="40"/>
        <v>-280526.75305709668</v>
      </c>
      <c r="I256" s="11">
        <f t="shared" si="40"/>
        <v>-271242.59648187336</v>
      </c>
      <c r="J256" s="11">
        <f t="shared" si="40"/>
        <v>-270182.95418558293</v>
      </c>
      <c r="K256" s="11">
        <f t="shared" si="40"/>
        <v>-185545.03290170198</v>
      </c>
      <c r="L256" s="11">
        <f t="shared" si="40"/>
        <v>-206520.03250324121</v>
      </c>
      <c r="M256" s="11">
        <f t="shared" si="40"/>
        <v>-206102.65633616471</v>
      </c>
      <c r="N256" s="11">
        <f t="shared" si="40"/>
        <v>-227806.25313116374</v>
      </c>
      <c r="O256" s="11">
        <f t="shared" si="40"/>
        <v>-269820.57050253154</v>
      </c>
      <c r="P256" s="11">
        <f t="shared" si="40"/>
        <v>-269484.28911599104</v>
      </c>
      <c r="Q256" s="11"/>
      <c r="R256" s="11"/>
      <c r="S256" s="11"/>
      <c r="T256" s="11"/>
      <c r="U256" s="11"/>
      <c r="V256" s="11"/>
      <c r="W256" s="11"/>
    </row>
    <row r="257" spans="1:16">
      <c r="A257">
        <v>2</v>
      </c>
      <c r="B257" s="11">
        <f t="shared" ref="B257:J266" si="41">B$256/((1+$B$173)^$A257)</f>
        <v>-177252.87148408702</v>
      </c>
      <c r="C257" s="11">
        <f t="shared" si="41"/>
        <v>-177291.5331962012</v>
      </c>
      <c r="D257" s="11">
        <f t="shared" si="41"/>
        <v>-207373.08186553547</v>
      </c>
      <c r="E257" s="11">
        <f t="shared" si="41"/>
        <v>-225930.93817003086</v>
      </c>
      <c r="F257" s="11">
        <f t="shared" si="41"/>
        <v>-214404.42986586186</v>
      </c>
      <c r="G257" s="11">
        <f t="shared" si="41"/>
        <v>-263508.36070011993</v>
      </c>
      <c r="H257" s="11">
        <f t="shared" si="41"/>
        <v>-264423.36983419425</v>
      </c>
      <c r="I257" s="11">
        <f t="shared" si="41"/>
        <v>-255672.16182663152</v>
      </c>
      <c r="J257" s="11">
        <f t="shared" si="41"/>
        <v>-254673.34733300307</v>
      </c>
      <c r="K257" s="11">
        <f t="shared" ref="K257:P266" si="42">K$256/((1+$B$173)^$A257)</f>
        <v>-174893.98897323216</v>
      </c>
      <c r="L257" s="11">
        <f t="shared" si="42"/>
        <v>-194664.93779172515</v>
      </c>
      <c r="M257" s="11">
        <f t="shared" si="42"/>
        <v>-194271.52072406892</v>
      </c>
      <c r="N257" s="11">
        <f t="shared" si="42"/>
        <v>-214729.24227652347</v>
      </c>
      <c r="O257" s="11">
        <f t="shared" si="42"/>
        <v>-254331.76595582199</v>
      </c>
      <c r="P257" s="11">
        <f t="shared" si="42"/>
        <v>-254014.78849655107</v>
      </c>
    </row>
    <row r="258" spans="1:16">
      <c r="A258">
        <v>3</v>
      </c>
      <c r="B258" s="11">
        <f t="shared" si="41"/>
        <v>-172090.16648940486</v>
      </c>
      <c r="C258" s="11">
        <f t="shared" si="41"/>
        <v>-172127.70213223418</v>
      </c>
      <c r="D258" s="11">
        <f t="shared" si="41"/>
        <v>-201333.08918984025</v>
      </c>
      <c r="E258" s="11">
        <f t="shared" si="41"/>
        <v>-219350.42540779692</v>
      </c>
      <c r="F258" s="11">
        <f t="shared" si="41"/>
        <v>-208159.64064646783</v>
      </c>
      <c r="G258" s="11">
        <f t="shared" si="41"/>
        <v>-255833.35990302905</v>
      </c>
      <c r="H258" s="11">
        <f t="shared" si="41"/>
        <v>-256721.71828562548</v>
      </c>
      <c r="I258" s="11">
        <f t="shared" si="41"/>
        <v>-248225.39983168108</v>
      </c>
      <c r="J258" s="11">
        <f t="shared" si="41"/>
        <v>-247255.67702233305</v>
      </c>
      <c r="K258" s="11">
        <f t="shared" si="42"/>
        <v>-169799.98929440015</v>
      </c>
      <c r="L258" s="11">
        <f t="shared" si="42"/>
        <v>-188995.08523468461</v>
      </c>
      <c r="M258" s="11">
        <f t="shared" si="42"/>
        <v>-188613.12691657175</v>
      </c>
      <c r="N258" s="11">
        <f t="shared" si="42"/>
        <v>-208474.99250147908</v>
      </c>
      <c r="O258" s="11">
        <f t="shared" si="42"/>
        <v>-246924.04461730289</v>
      </c>
      <c r="P258" s="11">
        <f t="shared" si="42"/>
        <v>-246616.29951121463</v>
      </c>
    </row>
    <row r="259" spans="1:16">
      <c r="A259">
        <v>4</v>
      </c>
      <c r="B259" s="11">
        <f t="shared" si="41"/>
        <v>-167077.83154311153</v>
      </c>
      <c r="C259" s="11">
        <f t="shared" si="41"/>
        <v>-167114.27391479045</v>
      </c>
      <c r="D259" s="11">
        <f t="shared" si="41"/>
        <v>-195469.01863091288</v>
      </c>
      <c r="E259" s="11">
        <f t="shared" si="41"/>
        <v>-212961.57806582228</v>
      </c>
      <c r="F259" s="11">
        <f t="shared" si="41"/>
        <v>-202096.73849171636</v>
      </c>
      <c r="G259" s="11">
        <f t="shared" si="41"/>
        <v>-248381.9028184748</v>
      </c>
      <c r="H259" s="11">
        <f t="shared" si="41"/>
        <v>-249244.38668507332</v>
      </c>
      <c r="I259" s="11">
        <f t="shared" si="41"/>
        <v>-240995.53381716611</v>
      </c>
      <c r="J259" s="11">
        <f t="shared" si="41"/>
        <v>-240054.05536148843</v>
      </c>
      <c r="K259" s="11">
        <f t="shared" si="42"/>
        <v>-164854.35853825256</v>
      </c>
      <c r="L259" s="11">
        <f t="shared" si="42"/>
        <v>-183490.3740142569</v>
      </c>
      <c r="M259" s="11">
        <f t="shared" si="42"/>
        <v>-183119.54069570077</v>
      </c>
      <c r="N259" s="11">
        <f t="shared" si="42"/>
        <v>-202402.90534124186</v>
      </c>
      <c r="O259" s="11">
        <f t="shared" si="42"/>
        <v>-239732.08215272127</v>
      </c>
      <c r="P259" s="11">
        <f t="shared" si="42"/>
        <v>-239433.3004963249</v>
      </c>
    </row>
    <row r="260" spans="1:16">
      <c r="A260">
        <v>5</v>
      </c>
      <c r="B260" s="11">
        <f t="shared" si="41"/>
        <v>-162211.48693505974</v>
      </c>
      <c r="C260" s="11">
        <f t="shared" si="41"/>
        <v>-162246.86787843736</v>
      </c>
      <c r="D260" s="11">
        <f t="shared" si="41"/>
        <v>-189775.74624360475</v>
      </c>
      <c r="E260" s="11">
        <f t="shared" si="41"/>
        <v>-206758.81365613814</v>
      </c>
      <c r="F260" s="11">
        <f t="shared" si="41"/>
        <v>-196210.42572011298</v>
      </c>
      <c r="G260" s="11">
        <f t="shared" si="41"/>
        <v>-241147.47846453867</v>
      </c>
      <c r="H260" s="11">
        <f t="shared" si="41"/>
        <v>-241984.84144181875</v>
      </c>
      <c r="I260" s="11">
        <f t="shared" si="41"/>
        <v>-233976.24642443313</v>
      </c>
      <c r="J260" s="11">
        <f t="shared" si="41"/>
        <v>-233062.18967134799</v>
      </c>
      <c r="K260" s="11">
        <f t="shared" si="42"/>
        <v>-160052.77527985687</v>
      </c>
      <c r="L260" s="11">
        <f t="shared" si="42"/>
        <v>-178145.99418859897</v>
      </c>
      <c r="M260" s="11">
        <f t="shared" si="42"/>
        <v>-177785.96184048618</v>
      </c>
      <c r="N260" s="11">
        <f t="shared" si="42"/>
        <v>-196507.67508858434</v>
      </c>
      <c r="O260" s="11">
        <f t="shared" si="42"/>
        <v>-232749.59432303038</v>
      </c>
      <c r="P260" s="11">
        <f t="shared" si="42"/>
        <v>-232459.51504497565</v>
      </c>
    </row>
    <row r="261" spans="1:16">
      <c r="A261">
        <v>6</v>
      </c>
      <c r="B261" s="11">
        <f t="shared" si="41"/>
        <v>-157486.88051947547</v>
      </c>
      <c r="C261" s="11">
        <f t="shared" si="41"/>
        <v>-157521.23094993917</v>
      </c>
      <c r="D261" s="11">
        <f t="shared" si="41"/>
        <v>-184248.29732388808</v>
      </c>
      <c r="E261" s="11">
        <f t="shared" si="41"/>
        <v>-200736.71228751275</v>
      </c>
      <c r="F261" s="11">
        <f t="shared" si="41"/>
        <v>-190495.55895156597</v>
      </c>
      <c r="G261" s="11">
        <f t="shared" si="41"/>
        <v>-234123.7654995521</v>
      </c>
      <c r="H261" s="11">
        <f t="shared" si="41"/>
        <v>-234936.73926390169</v>
      </c>
      <c r="I261" s="11">
        <f t="shared" si="41"/>
        <v>-227161.40429556614</v>
      </c>
      <c r="J261" s="11">
        <f t="shared" si="41"/>
        <v>-226273.97055470679</v>
      </c>
      <c r="K261" s="11">
        <f t="shared" si="42"/>
        <v>-155391.04396102609</v>
      </c>
      <c r="L261" s="11">
        <f t="shared" si="42"/>
        <v>-172957.27591126112</v>
      </c>
      <c r="M261" s="11">
        <f t="shared" si="42"/>
        <v>-172607.72994221959</v>
      </c>
      <c r="N261" s="11">
        <f t="shared" si="42"/>
        <v>-190784.1505714411</v>
      </c>
      <c r="O261" s="11">
        <f t="shared" si="42"/>
        <v>-225970.4799252722</v>
      </c>
      <c r="P261" s="11">
        <f t="shared" si="42"/>
        <v>-225688.84955822877</v>
      </c>
    </row>
    <row r="262" spans="1:16">
      <c r="A262">
        <v>7</v>
      </c>
      <c r="B262" s="11">
        <f t="shared" si="41"/>
        <v>-152899.88399949073</v>
      </c>
      <c r="C262" s="11">
        <f t="shared" si="41"/>
        <v>-152933.23393197978</v>
      </c>
      <c r="D262" s="11">
        <f t="shared" si="41"/>
        <v>-178881.84206202725</v>
      </c>
      <c r="E262" s="11">
        <f t="shared" si="41"/>
        <v>-194890.01192962402</v>
      </c>
      <c r="F262" s="11">
        <f t="shared" si="41"/>
        <v>-184947.14461317085</v>
      </c>
      <c r="G262" s="11">
        <f t="shared" si="41"/>
        <v>-227304.62669859425</v>
      </c>
      <c r="H262" s="11">
        <f t="shared" si="41"/>
        <v>-228093.92161543851</v>
      </c>
      <c r="I262" s="11">
        <f t="shared" si="41"/>
        <v>-220545.05271414187</v>
      </c>
      <c r="J262" s="11">
        <f t="shared" si="41"/>
        <v>-219683.46655796774</v>
      </c>
      <c r="K262" s="11">
        <f t="shared" si="42"/>
        <v>-150865.09122429715</v>
      </c>
      <c r="L262" s="11">
        <f t="shared" si="42"/>
        <v>-167919.68535073893</v>
      </c>
      <c r="M262" s="11">
        <f t="shared" si="42"/>
        <v>-167580.32033225201</v>
      </c>
      <c r="N262" s="11">
        <f t="shared" si="42"/>
        <v>-185227.33065188455</v>
      </c>
      <c r="O262" s="11">
        <f t="shared" si="42"/>
        <v>-219388.8154614293</v>
      </c>
      <c r="P262" s="11">
        <f t="shared" si="42"/>
        <v>-219115.38792061046</v>
      </c>
    </row>
    <row r="263" spans="1:16">
      <c r="A263">
        <v>8</v>
      </c>
      <c r="B263" s="11">
        <f t="shared" si="41"/>
        <v>-148446.48931989394</v>
      </c>
      <c r="C263" s="11">
        <f t="shared" si="41"/>
        <v>-148478.86789512599</v>
      </c>
      <c r="D263" s="11">
        <f t="shared" si="41"/>
        <v>-173671.69132235658</v>
      </c>
      <c r="E263" s="11">
        <f t="shared" si="41"/>
        <v>-189213.60381516896</v>
      </c>
      <c r="F263" s="11">
        <f t="shared" si="41"/>
        <v>-179560.33457589406</v>
      </c>
      <c r="G263" s="11">
        <f t="shared" si="41"/>
        <v>-220684.10359086824</v>
      </c>
      <c r="H263" s="11">
        <f t="shared" si="41"/>
        <v>-221450.40933537722</v>
      </c>
      <c r="I263" s="11">
        <f t="shared" si="41"/>
        <v>-214121.41040207949</v>
      </c>
      <c r="J263" s="11">
        <f t="shared" si="41"/>
        <v>-213284.91898831821</v>
      </c>
      <c r="K263" s="11">
        <f t="shared" si="42"/>
        <v>-146470.9623536866</v>
      </c>
      <c r="L263" s="11">
        <f t="shared" si="42"/>
        <v>-163028.82072887276</v>
      </c>
      <c r="M263" s="11">
        <f t="shared" si="42"/>
        <v>-162699.34012840004</v>
      </c>
      <c r="N263" s="11">
        <f t="shared" si="42"/>
        <v>-179832.3598561986</v>
      </c>
      <c r="O263" s="11">
        <f t="shared" si="42"/>
        <v>-212998.84996255275</v>
      </c>
      <c r="P263" s="11">
        <f t="shared" si="42"/>
        <v>-212733.38633068977</v>
      </c>
    </row>
    <row r="264" spans="1:16">
      <c r="A264">
        <v>9</v>
      </c>
      <c r="B264" s="11">
        <f t="shared" si="41"/>
        <v>-144122.80516494557</v>
      </c>
      <c r="C264" s="11">
        <f t="shared" si="41"/>
        <v>-144154.24067487961</v>
      </c>
      <c r="D264" s="11">
        <f t="shared" si="41"/>
        <v>-168613.29254597725</v>
      </c>
      <c r="E264" s="11">
        <f t="shared" si="41"/>
        <v>-183702.52797589221</v>
      </c>
      <c r="F264" s="11">
        <f t="shared" si="41"/>
        <v>-174330.42191834372</v>
      </c>
      <c r="G264" s="11">
        <f t="shared" si="41"/>
        <v>-214256.41125327011</v>
      </c>
      <c r="H264" s="11">
        <f t="shared" si="41"/>
        <v>-215000.3974129876</v>
      </c>
      <c r="I264" s="11">
        <f t="shared" si="41"/>
        <v>-207884.86446803834</v>
      </c>
      <c r="J264" s="11">
        <f t="shared" si="41"/>
        <v>-207072.73688186234</v>
      </c>
      <c r="K264" s="11">
        <f t="shared" si="42"/>
        <v>-142204.81781911317</v>
      </c>
      <c r="L264" s="11">
        <f t="shared" si="42"/>
        <v>-158280.40847463376</v>
      </c>
      <c r="M264" s="11">
        <f t="shared" si="42"/>
        <v>-157960.52439650489</v>
      </c>
      <c r="N264" s="11">
        <f t="shared" si="42"/>
        <v>-174594.52413223166</v>
      </c>
      <c r="O264" s="11">
        <f t="shared" si="42"/>
        <v>-206794.99996364344</v>
      </c>
      <c r="P264" s="11">
        <f t="shared" si="42"/>
        <v>-206537.26828222309</v>
      </c>
    </row>
    <row r="265" spans="1:16">
      <c r="A265">
        <v>10</v>
      </c>
      <c r="B265" s="11">
        <f t="shared" si="41"/>
        <v>-139925.05355819958</v>
      </c>
      <c r="C265" s="11">
        <f t="shared" si="41"/>
        <v>-139955.57347075691</v>
      </c>
      <c r="D265" s="11">
        <f t="shared" si="41"/>
        <v>-163702.22577279346</v>
      </c>
      <c r="E265" s="11">
        <f t="shared" si="41"/>
        <v>-178351.96890863319</v>
      </c>
      <c r="F265" s="11">
        <f t="shared" si="41"/>
        <v>-169252.83681392594</v>
      </c>
      <c r="G265" s="11">
        <f t="shared" si="41"/>
        <v>-208015.93325560205</v>
      </c>
      <c r="H265" s="11">
        <f t="shared" si="41"/>
        <v>-208738.24991552194</v>
      </c>
      <c r="I265" s="11">
        <f t="shared" si="41"/>
        <v>-201829.96550294984</v>
      </c>
      <c r="J265" s="11">
        <f t="shared" si="41"/>
        <v>-201041.49211831295</v>
      </c>
      <c r="K265" s="11">
        <f t="shared" si="42"/>
        <v>-138062.9299214691</v>
      </c>
      <c r="L265" s="11">
        <f t="shared" si="42"/>
        <v>-153670.29948993569</v>
      </c>
      <c r="M265" s="11">
        <f t="shared" si="42"/>
        <v>-153359.73242379114</v>
      </c>
      <c r="N265" s="11">
        <f t="shared" si="42"/>
        <v>-169509.24673032199</v>
      </c>
      <c r="O265" s="11">
        <f t="shared" si="42"/>
        <v>-200771.84462489653</v>
      </c>
      <c r="P265" s="11">
        <f t="shared" si="42"/>
        <v>-200521.61969147873</v>
      </c>
    </row>
    <row r="266" spans="1:16">
      <c r="A266">
        <v>11</v>
      </c>
      <c r="B266" s="11">
        <f t="shared" si="41"/>
        <v>-135849.56656135881</v>
      </c>
      <c r="C266" s="11">
        <f t="shared" si="41"/>
        <v>-135879.19754442418</v>
      </c>
      <c r="D266" s="11">
        <f t="shared" si="41"/>
        <v>-158934.19977941111</v>
      </c>
      <c r="E266" s="11">
        <f t="shared" si="41"/>
        <v>-173157.25136760506</v>
      </c>
      <c r="F266" s="11">
        <f t="shared" si="41"/>
        <v>-164323.14253779218</v>
      </c>
      <c r="G266" s="11">
        <f t="shared" si="41"/>
        <v>-201957.21675301169</v>
      </c>
      <c r="H266" s="11">
        <f t="shared" si="41"/>
        <v>-202658.49506361352</v>
      </c>
      <c r="I266" s="11">
        <f t="shared" si="41"/>
        <v>-195951.4228183979</v>
      </c>
      <c r="J266" s="11">
        <f t="shared" si="41"/>
        <v>-195185.91467797372</v>
      </c>
      <c r="K266" s="11">
        <f t="shared" si="42"/>
        <v>-134041.6795354069</v>
      </c>
      <c r="L266" s="11">
        <f t="shared" si="42"/>
        <v>-149194.4655242094</v>
      </c>
      <c r="M266" s="11">
        <f t="shared" si="42"/>
        <v>-148892.9441007681</v>
      </c>
      <c r="N266" s="11">
        <f t="shared" si="42"/>
        <v>-164572.08420419612</v>
      </c>
      <c r="O266" s="11">
        <f t="shared" si="42"/>
        <v>-194924.12099504517</v>
      </c>
      <c r="P266" s="11">
        <f t="shared" si="42"/>
        <v>-194681.18416648419</v>
      </c>
    </row>
    <row r="267" spans="1:16">
      <c r="A267">
        <v>12</v>
      </c>
      <c r="B267" s="11">
        <f t="shared" ref="B267:J275" si="43">B$256/((1+$B$173)^$A267)</f>
        <v>-131892.78306928041</v>
      </c>
      <c r="C267" s="11">
        <f t="shared" si="43"/>
        <v>-131921.55101400407</v>
      </c>
      <c r="D267" s="11">
        <f t="shared" si="43"/>
        <v>-154305.04832952537</v>
      </c>
      <c r="E267" s="11">
        <f t="shared" si="43"/>
        <v>-168113.83627922821</v>
      </c>
      <c r="F267" s="11">
        <f t="shared" si="43"/>
        <v>-159537.03159008952</v>
      </c>
      <c r="G267" s="11">
        <f t="shared" si="43"/>
        <v>-196074.9677213706</v>
      </c>
      <c r="H267" s="11">
        <f t="shared" si="43"/>
        <v>-196755.82045011024</v>
      </c>
      <c r="I267" s="11">
        <f t="shared" si="43"/>
        <v>-190244.09982368731</v>
      </c>
      <c r="J267" s="11">
        <f t="shared" si="43"/>
        <v>-189500.88803686772</v>
      </c>
      <c r="K267" s="11">
        <f t="shared" ref="K267:P275" si="44">K$256/((1+$B$173)^$A267)</f>
        <v>-130137.55294699701</v>
      </c>
      <c r="L267" s="11">
        <f t="shared" si="44"/>
        <v>-144848.99565457224</v>
      </c>
      <c r="M267" s="11">
        <f t="shared" si="44"/>
        <v>-144556.25640851274</v>
      </c>
      <c r="N267" s="11">
        <f t="shared" si="44"/>
        <v>-159778.72252834577</v>
      </c>
      <c r="O267" s="11">
        <f t="shared" si="44"/>
        <v>-189246.71941266526</v>
      </c>
      <c r="P267" s="11">
        <f t="shared" si="44"/>
        <v>-189010.85841406236</v>
      </c>
    </row>
    <row r="268" spans="1:16">
      <c r="A268">
        <v>13</v>
      </c>
      <c r="B268" s="11">
        <f t="shared" si="43"/>
        <v>-128051.24569833052</v>
      </c>
      <c r="C268" s="11">
        <f t="shared" si="43"/>
        <v>-128079.17574175153</v>
      </c>
      <c r="D268" s="11">
        <f t="shared" si="43"/>
        <v>-149810.7265335198</v>
      </c>
      <c r="E268" s="11">
        <f t="shared" si="43"/>
        <v>-163217.31677594973</v>
      </c>
      <c r="F268" s="11">
        <f t="shared" si="43"/>
        <v>-154890.32193212575</v>
      </c>
      <c r="G268" s="11">
        <f t="shared" si="43"/>
        <v>-190364.04633142779</v>
      </c>
      <c r="H268" s="11">
        <f t="shared" si="43"/>
        <v>-191025.06839816531</v>
      </c>
      <c r="I268" s="11">
        <f t="shared" si="43"/>
        <v>-184703.00953756052</v>
      </c>
      <c r="J268" s="11">
        <f t="shared" si="43"/>
        <v>-183981.44469598809</v>
      </c>
      <c r="K268" s="11">
        <f t="shared" si="44"/>
        <v>-126347.13878349225</v>
      </c>
      <c r="L268" s="11">
        <f t="shared" si="44"/>
        <v>-140630.09286851675</v>
      </c>
      <c r="M268" s="11">
        <f t="shared" si="44"/>
        <v>-140345.88000826479</v>
      </c>
      <c r="N268" s="11">
        <f t="shared" si="44"/>
        <v>-155124.97332849103</v>
      </c>
      <c r="O268" s="11">
        <f t="shared" si="44"/>
        <v>-183734.67904142258</v>
      </c>
      <c r="P268" s="11">
        <f t="shared" si="44"/>
        <v>-183505.68778064306</v>
      </c>
    </row>
    <row r="269" spans="1:16">
      <c r="A269">
        <v>14</v>
      </c>
      <c r="B269" s="11">
        <f t="shared" si="43"/>
        <v>-124321.59776536941</v>
      </c>
      <c r="C269" s="11">
        <f t="shared" si="43"/>
        <v>-124348.71431238012</v>
      </c>
      <c r="D269" s="11">
        <f t="shared" si="43"/>
        <v>-145447.30731409686</v>
      </c>
      <c r="E269" s="11">
        <f t="shared" si="43"/>
        <v>-158463.41434558225</v>
      </c>
      <c r="F269" s="11">
        <f t="shared" si="43"/>
        <v>-150378.95333216092</v>
      </c>
      <c r="G269" s="11">
        <f t="shared" si="43"/>
        <v>-184819.46245769685</v>
      </c>
      <c r="H269" s="11">
        <f t="shared" si="43"/>
        <v>-185461.23145452939</v>
      </c>
      <c r="I269" s="11">
        <f t="shared" si="43"/>
        <v>-179323.31023064125</v>
      </c>
      <c r="J269" s="11">
        <f t="shared" si="43"/>
        <v>-178622.76184076513</v>
      </c>
      <c r="K269" s="11">
        <f t="shared" si="44"/>
        <v>-122667.12503251673</v>
      </c>
      <c r="L269" s="11">
        <f t="shared" si="44"/>
        <v>-136534.07074613275</v>
      </c>
      <c r="M269" s="11">
        <f t="shared" si="44"/>
        <v>-136258.13593035415</v>
      </c>
      <c r="N269" s="11">
        <f t="shared" si="44"/>
        <v>-150606.77022183593</v>
      </c>
      <c r="O269" s="11">
        <f t="shared" si="44"/>
        <v>-178383.18353536172</v>
      </c>
      <c r="P269" s="11">
        <f t="shared" si="44"/>
        <v>-178160.86192295441</v>
      </c>
    </row>
    <row r="270" spans="1:16">
      <c r="A270">
        <v>15</v>
      </c>
      <c r="B270" s="11">
        <f t="shared" si="43"/>
        <v>-120700.58035472759</v>
      </c>
      <c r="C270" s="11">
        <f t="shared" si="43"/>
        <v>-120726.90709939816</v>
      </c>
      <c r="D270" s="11">
        <f t="shared" si="43"/>
        <v>-141210.97797485132</v>
      </c>
      <c r="E270" s="11">
        <f t="shared" si="43"/>
        <v>-153847.9750927983</v>
      </c>
      <c r="F270" s="11">
        <f t="shared" si="43"/>
        <v>-145998.98381763193</v>
      </c>
      <c r="G270" s="11">
        <f t="shared" si="43"/>
        <v>-179436.37131815229</v>
      </c>
      <c r="H270" s="11">
        <f t="shared" si="43"/>
        <v>-180059.44801410619</v>
      </c>
      <c r="I270" s="11">
        <f t="shared" si="43"/>
        <v>-174100.30119479733</v>
      </c>
      <c r="J270" s="11">
        <f t="shared" si="43"/>
        <v>-173420.15712695642</v>
      </c>
      <c r="K270" s="11">
        <f t="shared" si="44"/>
        <v>-119094.29614807449</v>
      </c>
      <c r="L270" s="11">
        <f t="shared" si="44"/>
        <v>-132557.35023896385</v>
      </c>
      <c r="M270" s="11">
        <f t="shared" si="44"/>
        <v>-132289.45235956713</v>
      </c>
      <c r="N270" s="11">
        <f t="shared" si="44"/>
        <v>-146220.16526391837</v>
      </c>
      <c r="O270" s="11">
        <f t="shared" si="44"/>
        <v>-173187.55683044824</v>
      </c>
      <c r="P270" s="11">
        <f t="shared" si="44"/>
        <v>-172971.7106048101</v>
      </c>
    </row>
    <row r="271" spans="1:16">
      <c r="A271">
        <v>16</v>
      </c>
      <c r="B271" s="11">
        <f t="shared" si="43"/>
        <v>-117185.02947060933</v>
      </c>
      <c r="C271" s="11">
        <f t="shared" si="43"/>
        <v>-117210.58941689144</v>
      </c>
      <c r="D271" s="11">
        <f t="shared" si="43"/>
        <v>-137098.03686878772</v>
      </c>
      <c r="E271" s="11">
        <f t="shared" si="43"/>
        <v>-149366.96610951293</v>
      </c>
      <c r="F271" s="11">
        <f t="shared" si="43"/>
        <v>-141746.58623071064</v>
      </c>
      <c r="G271" s="11">
        <f t="shared" si="43"/>
        <v>-174210.06924092458</v>
      </c>
      <c r="H271" s="11">
        <f t="shared" si="43"/>
        <v>-174814.9980719478</v>
      </c>
      <c r="I271" s="11">
        <f t="shared" si="43"/>
        <v>-169029.4186357256</v>
      </c>
      <c r="J271" s="11">
        <f t="shared" si="43"/>
        <v>-168369.08458927809</v>
      </c>
      <c r="K271" s="11">
        <f t="shared" si="44"/>
        <v>-115625.53024084904</v>
      </c>
      <c r="L271" s="11">
        <f t="shared" si="44"/>
        <v>-128696.45654268336</v>
      </c>
      <c r="M271" s="11">
        <f t="shared" si="44"/>
        <v>-128436.36151414287</v>
      </c>
      <c r="N271" s="11">
        <f t="shared" si="44"/>
        <v>-141961.32549894991</v>
      </c>
      <c r="O271" s="11">
        <f t="shared" si="44"/>
        <v>-168143.25905868766</v>
      </c>
      <c r="P271" s="11">
        <f t="shared" si="44"/>
        <v>-167933.69961632052</v>
      </c>
    </row>
    <row r="272" spans="1:16">
      <c r="A272">
        <v>17</v>
      </c>
      <c r="B272" s="11">
        <f t="shared" si="43"/>
        <v>-113771.87327243623</v>
      </c>
      <c r="C272" s="11">
        <f t="shared" si="43"/>
        <v>-113796.68875426354</v>
      </c>
      <c r="D272" s="11">
        <f t="shared" si="43"/>
        <v>-133104.89016387158</v>
      </c>
      <c r="E272" s="11">
        <f t="shared" si="43"/>
        <v>-145016.47195098342</v>
      </c>
      <c r="F272" s="11">
        <f t="shared" si="43"/>
        <v>-137618.0448841851</v>
      </c>
      <c r="G272" s="11">
        <f t="shared" si="43"/>
        <v>-169135.98955429569</v>
      </c>
      <c r="H272" s="11">
        <f t="shared" si="43"/>
        <v>-169723.29909897843</v>
      </c>
      <c r="I272" s="11">
        <f t="shared" si="43"/>
        <v>-164106.23168517047</v>
      </c>
      <c r="J272" s="11">
        <f t="shared" si="43"/>
        <v>-163465.13066920204</v>
      </c>
      <c r="K272" s="11">
        <f t="shared" si="44"/>
        <v>-112257.79635033887</v>
      </c>
      <c r="L272" s="11">
        <f t="shared" si="44"/>
        <v>-124948.01606085763</v>
      </c>
      <c r="M272" s="11">
        <f t="shared" si="44"/>
        <v>-124695.49661567269</v>
      </c>
      <c r="N272" s="11">
        <f t="shared" si="44"/>
        <v>-137826.52961063097</v>
      </c>
      <c r="O272" s="11">
        <f t="shared" si="44"/>
        <v>-163245.88258125016</v>
      </c>
      <c r="P272" s="11">
        <f t="shared" si="44"/>
        <v>-163042.42681196166</v>
      </c>
    </row>
    <row r="273" spans="1:16">
      <c r="A273">
        <v>18</v>
      </c>
      <c r="B273" s="11">
        <f t="shared" si="43"/>
        <v>-110458.12939071479</v>
      </c>
      <c r="C273" s="11">
        <f t="shared" si="43"/>
        <v>-110482.22209151799</v>
      </c>
      <c r="D273" s="11">
        <f t="shared" si="43"/>
        <v>-129228.04870278793</v>
      </c>
      <c r="E273" s="11">
        <f t="shared" si="43"/>
        <v>-140792.69121454703</v>
      </c>
      <c r="F273" s="11">
        <f t="shared" si="43"/>
        <v>-133609.7523147428</v>
      </c>
      <c r="G273" s="11">
        <f t="shared" si="43"/>
        <v>-164209.69859640358</v>
      </c>
      <c r="H273" s="11">
        <f t="shared" si="43"/>
        <v>-164779.90203784316</v>
      </c>
      <c r="I273" s="11">
        <f t="shared" si="43"/>
        <v>-159326.43852929171</v>
      </c>
      <c r="J273" s="11">
        <f t="shared" si="43"/>
        <v>-158704.01035844858</v>
      </c>
      <c r="K273" s="11">
        <f t="shared" si="44"/>
        <v>-108988.15179644551</v>
      </c>
      <c r="L273" s="11">
        <f t="shared" si="44"/>
        <v>-121308.75345714332</v>
      </c>
      <c r="M273" s="11">
        <f t="shared" si="44"/>
        <v>-121063.58894725505</v>
      </c>
      <c r="N273" s="11">
        <f t="shared" si="44"/>
        <v>-133812.16467051551</v>
      </c>
      <c r="O273" s="11">
        <f t="shared" si="44"/>
        <v>-158491.14813713607</v>
      </c>
      <c r="P273" s="11">
        <f t="shared" si="44"/>
        <v>-158293.61826404044</v>
      </c>
    </row>
    <row r="274" spans="1:16">
      <c r="A274">
        <v>19</v>
      </c>
      <c r="B274" s="11">
        <f t="shared" si="43"/>
        <v>-107240.90232108232</v>
      </c>
      <c r="C274" s="11">
        <f t="shared" si="43"/>
        <v>-107264.29329273592</v>
      </c>
      <c r="D274" s="11">
        <f t="shared" si="43"/>
        <v>-125464.12495416304</v>
      </c>
      <c r="E274" s="11">
        <f t="shared" si="43"/>
        <v>-136691.93321800683</v>
      </c>
      <c r="F274" s="11">
        <f t="shared" si="43"/>
        <v>-129718.20613081826</v>
      </c>
      <c r="G274" s="11">
        <f t="shared" si="43"/>
        <v>-159426.89184116854</v>
      </c>
      <c r="H274" s="11">
        <f t="shared" si="43"/>
        <v>-159980.48741538171</v>
      </c>
      <c r="I274" s="11">
        <f t="shared" si="43"/>
        <v>-154685.86264979778</v>
      </c>
      <c r="J274" s="11">
        <f t="shared" si="43"/>
        <v>-154081.56345480445</v>
      </c>
      <c r="K274" s="11">
        <f t="shared" si="44"/>
        <v>-105813.73960819952</v>
      </c>
      <c r="L274" s="11">
        <f t="shared" si="44"/>
        <v>-117775.48879334304</v>
      </c>
      <c r="M274" s="11">
        <f t="shared" si="44"/>
        <v>-117537.46499733499</v>
      </c>
      <c r="N274" s="11">
        <f t="shared" si="44"/>
        <v>-129914.72298108302</v>
      </c>
      <c r="O274" s="11">
        <f t="shared" si="44"/>
        <v>-153874.90110401559</v>
      </c>
      <c r="P274" s="11">
        <f t="shared" si="44"/>
        <v>-153683.1245281946</v>
      </c>
    </row>
    <row r="275" spans="1:16">
      <c r="A275">
        <v>20</v>
      </c>
      <c r="B275" s="11">
        <f t="shared" si="43"/>
        <v>-104117.38089425469</v>
      </c>
      <c r="C275" s="11">
        <f t="shared" si="43"/>
        <v>-104140.09057547177</v>
      </c>
      <c r="D275" s="11">
        <f t="shared" si="43"/>
        <v>-121809.83005258547</v>
      </c>
      <c r="E275" s="11">
        <f t="shared" si="43"/>
        <v>-132710.6147747639</v>
      </c>
      <c r="F275" s="11">
        <f t="shared" si="43"/>
        <v>-125940.00595225075</v>
      </c>
      <c r="G275" s="11">
        <f t="shared" si="43"/>
        <v>-154783.39013705685</v>
      </c>
      <c r="H275" s="11">
        <f t="shared" si="43"/>
        <v>-155320.86156833175</v>
      </c>
      <c r="I275" s="11">
        <f t="shared" si="43"/>
        <v>-150180.44917456096</v>
      </c>
      <c r="J275" s="11">
        <f t="shared" si="43"/>
        <v>-149593.7509269946</v>
      </c>
      <c r="K275" s="11">
        <f t="shared" si="44"/>
        <v>-102731.78602737818</v>
      </c>
      <c r="L275" s="11">
        <f t="shared" si="44"/>
        <v>-114345.13475081848</v>
      </c>
      <c r="M275" s="11">
        <f t="shared" si="44"/>
        <v>-114114.04368673301</v>
      </c>
      <c r="N275" s="11">
        <f t="shared" si="44"/>
        <v>-126130.79901076022</v>
      </c>
      <c r="O275" s="11">
        <f t="shared" si="44"/>
        <v>-149393.10786797633</v>
      </c>
      <c r="P275" s="11">
        <f t="shared" si="44"/>
        <v>-149206.91701766467</v>
      </c>
    </row>
    <row r="276" spans="1:16">
      <c r="B276" s="11"/>
      <c r="C276" s="11"/>
      <c r="D276" s="11"/>
      <c r="E276" s="11"/>
      <c r="F276" s="11"/>
      <c r="G276" s="11"/>
      <c r="H276" s="11"/>
      <c r="I276" s="11"/>
      <c r="J276" s="11"/>
      <c r="K276" s="11"/>
      <c r="L276" s="11"/>
      <c r="M276" s="11"/>
      <c r="N276" s="11"/>
      <c r="O276" s="11"/>
      <c r="P276" s="11"/>
    </row>
    <row r="277" spans="1:16">
      <c r="A277" t="s">
        <v>282</v>
      </c>
      <c r="B277" s="11">
        <f t="shared" ref="B277:P277" si="45">SUM(B256:B275)+B234</f>
        <v>-2803150.1291693011</v>
      </c>
      <c r="C277" s="11">
        <f t="shared" si="45"/>
        <v>-2803761.5414550328</v>
      </c>
      <c r="D277" s="11">
        <f t="shared" si="45"/>
        <v>-3279483.5781816826</v>
      </c>
      <c r="E277" s="11">
        <f t="shared" si="45"/>
        <v>-3572965.183650183</v>
      </c>
      <c r="F277" s="11">
        <f t="shared" si="45"/>
        <v>-3390680.2199642607</v>
      </c>
      <c r="G277" s="11">
        <f t="shared" si="45"/>
        <v>-4167230.0660023144</v>
      </c>
      <c r="H277" s="11">
        <f t="shared" si="45"/>
        <v>-4181700.3984200428</v>
      </c>
      <c r="I277" s="11">
        <f t="shared" si="45"/>
        <v>-4043305.1800441919</v>
      </c>
      <c r="J277" s="11">
        <f t="shared" si="45"/>
        <v>-4027509.5150522036</v>
      </c>
      <c r="K277" s="11">
        <f t="shared" si="45"/>
        <v>-2807004.0467367345</v>
      </c>
      <c r="L277" s="11">
        <f t="shared" si="45"/>
        <v>-3119669.9983251891</v>
      </c>
      <c r="M277" s="11">
        <f t="shared" si="45"/>
        <v>-3113448.3383047651</v>
      </c>
      <c r="N277" s="11">
        <f t="shared" si="45"/>
        <v>-3436975.197599797</v>
      </c>
      <c r="O277" s="11">
        <f t="shared" si="45"/>
        <v>-4063265.866053211</v>
      </c>
      <c r="P277" s="11">
        <f t="shared" si="45"/>
        <v>-4058253.0535754231</v>
      </c>
    </row>
    <row r="279" spans="1:16">
      <c r="A279" t="s">
        <v>101</v>
      </c>
    </row>
    <row r="280" spans="1:16">
      <c r="A280" t="s">
        <v>100</v>
      </c>
    </row>
    <row r="281" spans="1:16">
      <c r="A281">
        <v>1</v>
      </c>
      <c r="B281" s="11">
        <f t="shared" ref="B281:P281" si="46">-$B$177*B242</f>
        <v>-792542.60400000005</v>
      </c>
      <c r="C281" s="11">
        <f t="shared" si="46"/>
        <v>-792542.60400000005</v>
      </c>
      <c r="D281" s="11">
        <f t="shared" si="46"/>
        <v>-707201.51600000018</v>
      </c>
      <c r="E281" s="11">
        <f t="shared" si="46"/>
        <v>-673316.08400000003</v>
      </c>
      <c r="F281" s="11">
        <f t="shared" si="46"/>
        <v>-554089.56400000013</v>
      </c>
      <c r="G281" s="11">
        <f t="shared" si="46"/>
        <v>-633155.57200000004</v>
      </c>
      <c r="H281" s="11">
        <f t="shared" si="46"/>
        <v>-632528.06400000013</v>
      </c>
      <c r="I281" s="11">
        <f t="shared" si="46"/>
        <v>-520204.13199999998</v>
      </c>
      <c r="J281" s="11">
        <f t="shared" si="46"/>
        <v>-520204.13199999998</v>
      </c>
      <c r="K281" s="11">
        <f t="shared" si="46"/>
        <v>-240335.56400000004</v>
      </c>
      <c r="L281" s="11">
        <f t="shared" si="46"/>
        <v>-225275.372</v>
      </c>
      <c r="M281" s="11">
        <f t="shared" si="46"/>
        <v>-228412.91200000004</v>
      </c>
      <c r="N281" s="11">
        <f t="shared" si="46"/>
        <v>-212725.21200000003</v>
      </c>
      <c r="O281" s="11">
        <f t="shared" si="46"/>
        <v>-202685.084</v>
      </c>
      <c r="P281" s="11">
        <f t="shared" si="46"/>
        <v>-207705.14800000002</v>
      </c>
    </row>
    <row r="282" spans="1:16">
      <c r="A282">
        <v>2</v>
      </c>
      <c r="B282" s="11">
        <f t="shared" ref="B282:J291" si="47">B$281/((1+$B$173)^$A282)</f>
        <v>-747047.41634461319</v>
      </c>
      <c r="C282" s="11">
        <f t="shared" si="47"/>
        <v>-747047.41634461319</v>
      </c>
      <c r="D282" s="11">
        <f t="shared" si="47"/>
        <v>-666605.25591478951</v>
      </c>
      <c r="E282" s="11">
        <f t="shared" si="47"/>
        <v>-634664.98633235937</v>
      </c>
      <c r="F282" s="11">
        <f t="shared" si="47"/>
        <v>-522282.55632010574</v>
      </c>
      <c r="G282" s="11">
        <f t="shared" si="47"/>
        <v>-596809.85201244231</v>
      </c>
      <c r="H282" s="11">
        <f t="shared" si="47"/>
        <v>-596218.36553869373</v>
      </c>
      <c r="I282" s="11">
        <f t="shared" si="47"/>
        <v>-490342.28673767555</v>
      </c>
      <c r="J282" s="11">
        <f t="shared" si="47"/>
        <v>-490342.28673767555</v>
      </c>
      <c r="K282" s="11">
        <f t="shared" ref="K282:P291" si="48">K$281/((1+$B$173)^$A282)</f>
        <v>-226539.31944575364</v>
      </c>
      <c r="L282" s="11">
        <f t="shared" si="48"/>
        <v>-212343.64407578472</v>
      </c>
      <c r="M282" s="11">
        <f t="shared" si="48"/>
        <v>-215301.07644452827</v>
      </c>
      <c r="N282" s="11">
        <f t="shared" si="48"/>
        <v>-200513.91460081068</v>
      </c>
      <c r="O282" s="11">
        <f t="shared" si="48"/>
        <v>-191050.13102083138</v>
      </c>
      <c r="P282" s="11">
        <f t="shared" si="48"/>
        <v>-195782.02281082101</v>
      </c>
    </row>
    <row r="283" spans="1:16">
      <c r="A283">
        <v>3</v>
      </c>
      <c r="B283" s="11">
        <f t="shared" si="47"/>
        <v>-725288.75373263413</v>
      </c>
      <c r="C283" s="11">
        <f t="shared" si="47"/>
        <v>-725288.75373263413</v>
      </c>
      <c r="D283" s="11">
        <f t="shared" si="47"/>
        <v>-647189.56884931016</v>
      </c>
      <c r="E283" s="11">
        <f t="shared" si="47"/>
        <v>-616179.59838093142</v>
      </c>
      <c r="F283" s="11">
        <f t="shared" si="47"/>
        <v>-507070.44302922883</v>
      </c>
      <c r="G283" s="11">
        <f t="shared" si="47"/>
        <v>-579427.04078877892</v>
      </c>
      <c r="H283" s="11">
        <f t="shared" si="47"/>
        <v>-578852.78207640164</v>
      </c>
      <c r="I283" s="11">
        <f t="shared" si="47"/>
        <v>-476060.47256085003</v>
      </c>
      <c r="J283" s="11">
        <f t="shared" si="47"/>
        <v>-476060.47256085003</v>
      </c>
      <c r="K283" s="11">
        <f t="shared" si="48"/>
        <v>-219941.08684053752</v>
      </c>
      <c r="L283" s="11">
        <f t="shared" si="48"/>
        <v>-206158.87774348029</v>
      </c>
      <c r="M283" s="11">
        <f t="shared" si="48"/>
        <v>-209030.17130536726</v>
      </c>
      <c r="N283" s="11">
        <f t="shared" si="48"/>
        <v>-194673.70349593268</v>
      </c>
      <c r="O283" s="11">
        <f t="shared" si="48"/>
        <v>-185485.56409789453</v>
      </c>
      <c r="P283" s="11">
        <f t="shared" si="48"/>
        <v>-190079.63379691361</v>
      </c>
    </row>
    <row r="284" spans="1:16">
      <c r="A284">
        <v>4</v>
      </c>
      <c r="B284" s="11">
        <f t="shared" si="47"/>
        <v>-704163.83857537294</v>
      </c>
      <c r="C284" s="11">
        <f t="shared" si="47"/>
        <v>-704163.83857537294</v>
      </c>
      <c r="D284" s="11">
        <f t="shared" si="47"/>
        <v>-628339.38723234006</v>
      </c>
      <c r="E284" s="11">
        <f t="shared" si="47"/>
        <v>-598232.61978731211</v>
      </c>
      <c r="F284" s="11">
        <f t="shared" si="47"/>
        <v>-492301.40099925135</v>
      </c>
      <c r="G284" s="11">
        <f t="shared" si="47"/>
        <v>-562550.52503764955</v>
      </c>
      <c r="H284" s="11">
        <f t="shared" si="47"/>
        <v>-561992.99230718613</v>
      </c>
      <c r="I284" s="11">
        <f t="shared" si="47"/>
        <v>-462194.6335542234</v>
      </c>
      <c r="J284" s="11">
        <f t="shared" si="47"/>
        <v>-462194.6335542234</v>
      </c>
      <c r="K284" s="11">
        <f t="shared" si="48"/>
        <v>-213535.03576751216</v>
      </c>
      <c r="L284" s="11">
        <f t="shared" si="48"/>
        <v>-200154.25023638867</v>
      </c>
      <c r="M284" s="11">
        <f t="shared" si="48"/>
        <v>-202941.9138887061</v>
      </c>
      <c r="N284" s="11">
        <f t="shared" si="48"/>
        <v>-189003.59562711912</v>
      </c>
      <c r="O284" s="11">
        <f t="shared" si="48"/>
        <v>-180083.07193970346</v>
      </c>
      <c r="P284" s="11">
        <f t="shared" si="48"/>
        <v>-184543.33378341128</v>
      </c>
    </row>
    <row r="285" spans="1:16">
      <c r="A285">
        <v>5</v>
      </c>
      <c r="B285" s="11">
        <f t="shared" si="47"/>
        <v>-683654.21220910002</v>
      </c>
      <c r="C285" s="11">
        <f t="shared" si="47"/>
        <v>-683654.21220910002</v>
      </c>
      <c r="D285" s="11">
        <f t="shared" si="47"/>
        <v>-610038.24003139813</v>
      </c>
      <c r="E285" s="11">
        <f t="shared" si="47"/>
        <v>-580808.3687255457</v>
      </c>
      <c r="F285" s="11">
        <f t="shared" si="47"/>
        <v>-477962.52524199162</v>
      </c>
      <c r="G285" s="11">
        <f t="shared" si="47"/>
        <v>-546165.55828898016</v>
      </c>
      <c r="H285" s="11">
        <f t="shared" si="47"/>
        <v>-545624.26437590888</v>
      </c>
      <c r="I285" s="11">
        <f t="shared" si="47"/>
        <v>-448732.65393613925</v>
      </c>
      <c r="J285" s="11">
        <f t="shared" si="47"/>
        <v>-448732.65393613925</v>
      </c>
      <c r="K285" s="11">
        <f t="shared" si="48"/>
        <v>-207315.56870632252</v>
      </c>
      <c r="L285" s="11">
        <f t="shared" si="48"/>
        <v>-194324.51479261037</v>
      </c>
      <c r="M285" s="11">
        <f t="shared" si="48"/>
        <v>-197030.98435796707</v>
      </c>
      <c r="N285" s="11">
        <f t="shared" si="48"/>
        <v>-183498.63653118361</v>
      </c>
      <c r="O285" s="11">
        <f t="shared" si="48"/>
        <v>-174837.9339220422</v>
      </c>
      <c r="P285" s="11">
        <f t="shared" si="48"/>
        <v>-179168.2852266129</v>
      </c>
    </row>
    <row r="286" spans="1:16">
      <c r="A286">
        <v>6</v>
      </c>
      <c r="B286" s="11">
        <f t="shared" si="47"/>
        <v>-663741.95360106789</v>
      </c>
      <c r="C286" s="11">
        <f t="shared" si="47"/>
        <v>-663741.95360106789</v>
      </c>
      <c r="D286" s="11">
        <f t="shared" si="47"/>
        <v>-592270.13595281367</v>
      </c>
      <c r="E286" s="11">
        <f t="shared" si="47"/>
        <v>-563891.62012188905</v>
      </c>
      <c r="F286" s="11">
        <f t="shared" si="47"/>
        <v>-464041.28664271027</v>
      </c>
      <c r="G286" s="11">
        <f t="shared" si="47"/>
        <v>-530257.82358153409</v>
      </c>
      <c r="H286" s="11">
        <f t="shared" si="47"/>
        <v>-529732.29551059112</v>
      </c>
      <c r="I286" s="11">
        <f t="shared" si="47"/>
        <v>-435662.77081178565</v>
      </c>
      <c r="J286" s="11">
        <f t="shared" si="47"/>
        <v>-435662.77081178565</v>
      </c>
      <c r="K286" s="11">
        <f t="shared" si="48"/>
        <v>-201277.25117118689</v>
      </c>
      <c r="L286" s="11">
        <f t="shared" si="48"/>
        <v>-188664.57746855373</v>
      </c>
      <c r="M286" s="11">
        <f t="shared" si="48"/>
        <v>-191292.21782326899</v>
      </c>
      <c r="N286" s="11">
        <f t="shared" si="48"/>
        <v>-178154.01604969281</v>
      </c>
      <c r="O286" s="11">
        <f t="shared" si="48"/>
        <v>-169745.56691460405</v>
      </c>
      <c r="P286" s="11">
        <f t="shared" si="48"/>
        <v>-173949.79148214843</v>
      </c>
    </row>
    <row r="287" spans="1:16">
      <c r="A287">
        <v>7</v>
      </c>
      <c r="B287" s="11">
        <f t="shared" si="47"/>
        <v>-644409.66369035712</v>
      </c>
      <c r="C287" s="11">
        <f t="shared" si="47"/>
        <v>-644409.66369035712</v>
      </c>
      <c r="D287" s="11">
        <f t="shared" si="47"/>
        <v>-575019.54946875107</v>
      </c>
      <c r="E287" s="11">
        <f t="shared" si="47"/>
        <v>-547467.59235134861</v>
      </c>
      <c r="F287" s="11">
        <f t="shared" si="47"/>
        <v>-450525.52101234003</v>
      </c>
      <c r="G287" s="11">
        <f t="shared" si="47"/>
        <v>-514813.42095294566</v>
      </c>
      <c r="H287" s="11">
        <f t="shared" si="47"/>
        <v>-514303.1995248457</v>
      </c>
      <c r="I287" s="11">
        <f t="shared" si="47"/>
        <v>-422973.56389493746</v>
      </c>
      <c r="J287" s="11">
        <f t="shared" si="47"/>
        <v>-422973.56389493746</v>
      </c>
      <c r="K287" s="11">
        <f t="shared" si="48"/>
        <v>-195414.80696231735</v>
      </c>
      <c r="L287" s="11">
        <f t="shared" si="48"/>
        <v>-183169.49268791624</v>
      </c>
      <c r="M287" s="11">
        <f t="shared" si="48"/>
        <v>-185720.59982841648</v>
      </c>
      <c r="N287" s="11">
        <f t="shared" si="48"/>
        <v>-172965.06412591535</v>
      </c>
      <c r="O287" s="11">
        <f t="shared" si="48"/>
        <v>-164801.5212763146</v>
      </c>
      <c r="P287" s="11">
        <f t="shared" si="48"/>
        <v>-168883.29270111499</v>
      </c>
    </row>
    <row r="288" spans="1:16">
      <c r="A288">
        <v>8</v>
      </c>
      <c r="B288" s="11">
        <f t="shared" si="47"/>
        <v>-625640.45018481289</v>
      </c>
      <c r="C288" s="11">
        <f t="shared" si="47"/>
        <v>-625640.45018481289</v>
      </c>
      <c r="D288" s="11">
        <f t="shared" si="47"/>
        <v>-558271.40725121472</v>
      </c>
      <c r="E288" s="11">
        <f t="shared" si="47"/>
        <v>-531521.93432169768</v>
      </c>
      <c r="F288" s="11">
        <f t="shared" si="47"/>
        <v>-437403.4184585826</v>
      </c>
      <c r="G288" s="11">
        <f t="shared" si="47"/>
        <v>-499818.85529412207</v>
      </c>
      <c r="H288" s="11">
        <f t="shared" si="47"/>
        <v>-499323.49468431628</v>
      </c>
      <c r="I288" s="11">
        <f t="shared" si="47"/>
        <v>-410653.94552906556</v>
      </c>
      <c r="J288" s="11">
        <f t="shared" si="47"/>
        <v>-410653.94552906556</v>
      </c>
      <c r="K288" s="11">
        <f t="shared" si="48"/>
        <v>-189723.11355564793</v>
      </c>
      <c r="L288" s="11">
        <f t="shared" si="48"/>
        <v>-177834.45892030705</v>
      </c>
      <c r="M288" s="11">
        <f t="shared" si="48"/>
        <v>-180311.26196933642</v>
      </c>
      <c r="N288" s="11">
        <f t="shared" si="48"/>
        <v>-167927.2467241897</v>
      </c>
      <c r="O288" s="11">
        <f t="shared" si="48"/>
        <v>-160001.47696729575</v>
      </c>
      <c r="P288" s="11">
        <f t="shared" si="48"/>
        <v>-163964.36184574271</v>
      </c>
    </row>
    <row r="289" spans="1:16">
      <c r="A289">
        <v>9</v>
      </c>
      <c r="B289" s="11">
        <f t="shared" si="47"/>
        <v>-607417.91280078911</v>
      </c>
      <c r="C289" s="11">
        <f t="shared" si="47"/>
        <v>-607417.91280078911</v>
      </c>
      <c r="D289" s="11">
        <f t="shared" si="47"/>
        <v>-542011.07500117936</v>
      </c>
      <c r="E289" s="11">
        <f t="shared" si="47"/>
        <v>-516040.71293368709</v>
      </c>
      <c r="F289" s="11">
        <f t="shared" si="47"/>
        <v>-424663.51306658506</v>
      </c>
      <c r="G289" s="11">
        <f t="shared" si="47"/>
        <v>-485261.02455740003</v>
      </c>
      <c r="H289" s="11">
        <f t="shared" si="47"/>
        <v>-484780.09192652063</v>
      </c>
      <c r="I289" s="11">
        <f t="shared" si="47"/>
        <v>-398693.15099909279</v>
      </c>
      <c r="J289" s="11">
        <f t="shared" si="47"/>
        <v>-398693.15099909279</v>
      </c>
      <c r="K289" s="11">
        <f t="shared" si="48"/>
        <v>-184197.19762684265</v>
      </c>
      <c r="L289" s="11">
        <f t="shared" si="48"/>
        <v>-172654.814485735</v>
      </c>
      <c r="M289" s="11">
        <f t="shared" si="48"/>
        <v>-175059.47764013245</v>
      </c>
      <c r="N289" s="11">
        <f t="shared" si="48"/>
        <v>-163036.16186814531</v>
      </c>
      <c r="O289" s="11">
        <f t="shared" si="48"/>
        <v>-155341.23977407353</v>
      </c>
      <c r="P289" s="11">
        <f t="shared" si="48"/>
        <v>-159188.70082110944</v>
      </c>
    </row>
    <row r="290" spans="1:16">
      <c r="A290">
        <v>10</v>
      </c>
      <c r="B290" s="11">
        <f t="shared" si="47"/>
        <v>-589726.12893280503</v>
      </c>
      <c r="C290" s="11">
        <f t="shared" si="47"/>
        <v>-589726.12893280503</v>
      </c>
      <c r="D290" s="11">
        <f t="shared" si="47"/>
        <v>-526224.34466133919</v>
      </c>
      <c r="E290" s="11">
        <f t="shared" si="47"/>
        <v>-501010.40090649232</v>
      </c>
      <c r="F290" s="11">
        <f t="shared" si="47"/>
        <v>-412294.67288017966</v>
      </c>
      <c r="G290" s="11">
        <f t="shared" si="47"/>
        <v>-471127.20830815542</v>
      </c>
      <c r="H290" s="11">
        <f t="shared" si="47"/>
        <v>-470660.28342380642</v>
      </c>
      <c r="I290" s="11">
        <f t="shared" si="47"/>
        <v>-387080.72912533279</v>
      </c>
      <c r="J290" s="11">
        <f t="shared" si="47"/>
        <v>-387080.72912533279</v>
      </c>
      <c r="K290" s="11">
        <f t="shared" si="48"/>
        <v>-178832.23070567247</v>
      </c>
      <c r="L290" s="11">
        <f t="shared" si="48"/>
        <v>-167626.03348129612</v>
      </c>
      <c r="M290" s="11">
        <f t="shared" si="48"/>
        <v>-169960.6579030412</v>
      </c>
      <c r="N290" s="11">
        <f t="shared" si="48"/>
        <v>-158287.53579431586</v>
      </c>
      <c r="O290" s="11">
        <f t="shared" si="48"/>
        <v>-150816.73764473159</v>
      </c>
      <c r="P290" s="11">
        <f t="shared" si="48"/>
        <v>-154552.13671952373</v>
      </c>
    </row>
    <row r="291" spans="1:16">
      <c r="A291">
        <v>11</v>
      </c>
      <c r="B291" s="11">
        <f t="shared" si="47"/>
        <v>-572549.63974058733</v>
      </c>
      <c r="C291" s="11">
        <f t="shared" si="47"/>
        <v>-572549.63974058733</v>
      </c>
      <c r="D291" s="11">
        <f t="shared" si="47"/>
        <v>-510897.42200130015</v>
      </c>
      <c r="E291" s="11">
        <f t="shared" si="47"/>
        <v>-486417.86495775951</v>
      </c>
      <c r="F291" s="11">
        <f t="shared" si="47"/>
        <v>-400286.09017493168</v>
      </c>
      <c r="G291" s="11">
        <f t="shared" si="47"/>
        <v>-457405.05660985957</v>
      </c>
      <c r="H291" s="11">
        <f t="shared" si="47"/>
        <v>-456951.7314794237</v>
      </c>
      <c r="I291" s="11">
        <f t="shared" si="47"/>
        <v>-375806.53313139104</v>
      </c>
      <c r="J291" s="11">
        <f t="shared" si="47"/>
        <v>-375806.53313139104</v>
      </c>
      <c r="K291" s="11">
        <f t="shared" si="48"/>
        <v>-173623.52495696358</v>
      </c>
      <c r="L291" s="11">
        <f t="shared" si="48"/>
        <v>-162743.72182650107</v>
      </c>
      <c r="M291" s="11">
        <f t="shared" si="48"/>
        <v>-165010.34747868078</v>
      </c>
      <c r="N291" s="11">
        <f t="shared" si="48"/>
        <v>-153677.21921778237</v>
      </c>
      <c r="O291" s="11">
        <f t="shared" si="48"/>
        <v>-146424.01713080736</v>
      </c>
      <c r="P291" s="11">
        <f t="shared" si="48"/>
        <v>-150050.61817429488</v>
      </c>
    </row>
    <row r="292" spans="1:16">
      <c r="A292">
        <v>12</v>
      </c>
      <c r="B292" s="11">
        <f t="shared" ref="B292:J300" si="49">B$281/((1+$B$173)^$A292)</f>
        <v>-555873.43664134701</v>
      </c>
      <c r="C292" s="11">
        <f t="shared" si="49"/>
        <v>-555873.43664134701</v>
      </c>
      <c r="D292" s="11">
        <f t="shared" si="49"/>
        <v>-496016.91456436913</v>
      </c>
      <c r="E292" s="11">
        <f t="shared" si="49"/>
        <v>-472250.35432792193</v>
      </c>
      <c r="F292" s="11">
        <f t="shared" si="49"/>
        <v>-388627.27201449685</v>
      </c>
      <c r="G292" s="11">
        <f t="shared" si="49"/>
        <v>-444082.57923287345</v>
      </c>
      <c r="H292" s="11">
        <f t="shared" si="49"/>
        <v>-443642.45774701337</v>
      </c>
      <c r="I292" s="11">
        <f t="shared" si="49"/>
        <v>-364860.71177804959</v>
      </c>
      <c r="J292" s="11">
        <f t="shared" si="49"/>
        <v>-364860.71177804959</v>
      </c>
      <c r="K292" s="11">
        <f t="shared" ref="K292:P300" si="50">K$281/((1+$B$173)^$A292)</f>
        <v>-168566.52908443069</v>
      </c>
      <c r="L292" s="11">
        <f t="shared" si="50"/>
        <v>-158003.61342378746</v>
      </c>
      <c r="M292" s="11">
        <f t="shared" si="50"/>
        <v>-160204.22085308816</v>
      </c>
      <c r="N292" s="11">
        <f t="shared" si="50"/>
        <v>-149201.18370658485</v>
      </c>
      <c r="O292" s="11">
        <f t="shared" si="50"/>
        <v>-142159.2399328227</v>
      </c>
      <c r="P292" s="11">
        <f t="shared" si="50"/>
        <v>-145680.21181970378</v>
      </c>
    </row>
    <row r="293" spans="1:16">
      <c r="A293">
        <v>13</v>
      </c>
      <c r="B293" s="11">
        <f t="shared" si="49"/>
        <v>-539682.9481954826</v>
      </c>
      <c r="C293" s="11">
        <f t="shared" si="49"/>
        <v>-539682.9481954826</v>
      </c>
      <c r="D293" s="11">
        <f t="shared" si="49"/>
        <v>-481569.81996540696</v>
      </c>
      <c r="E293" s="11">
        <f t="shared" si="49"/>
        <v>-458495.48963875917</v>
      </c>
      <c r="F293" s="11">
        <f t="shared" si="49"/>
        <v>-377308.0310820358</v>
      </c>
      <c r="G293" s="11">
        <f t="shared" si="49"/>
        <v>-431148.13517754705</v>
      </c>
      <c r="H293" s="11">
        <f t="shared" si="49"/>
        <v>-430720.83276409068</v>
      </c>
      <c r="I293" s="11">
        <f t="shared" si="49"/>
        <v>-354233.70075538801</v>
      </c>
      <c r="J293" s="11">
        <f t="shared" si="49"/>
        <v>-354233.70075538801</v>
      </c>
      <c r="K293" s="11">
        <f t="shared" si="50"/>
        <v>-163656.82435381619</v>
      </c>
      <c r="L293" s="11">
        <f t="shared" si="50"/>
        <v>-153401.56643086163</v>
      </c>
      <c r="M293" s="11">
        <f t="shared" si="50"/>
        <v>-155538.07849814385</v>
      </c>
      <c r="N293" s="11">
        <f t="shared" si="50"/>
        <v>-144855.51816173288</v>
      </c>
      <c r="O293" s="11">
        <f t="shared" si="50"/>
        <v>-138018.67954642983</v>
      </c>
      <c r="P293" s="11">
        <f t="shared" si="50"/>
        <v>-141437.09885408136</v>
      </c>
    </row>
    <row r="294" spans="1:16">
      <c r="A294">
        <v>14</v>
      </c>
      <c r="B294" s="11">
        <f t="shared" si="49"/>
        <v>-523964.02737425489</v>
      </c>
      <c r="C294" s="11">
        <f t="shared" si="49"/>
        <v>-523964.02737425489</v>
      </c>
      <c r="D294" s="11">
        <f t="shared" si="49"/>
        <v>-467543.51452952129</v>
      </c>
      <c r="E294" s="11">
        <f t="shared" si="49"/>
        <v>-445141.25207646517</v>
      </c>
      <c r="F294" s="11">
        <f t="shared" si="49"/>
        <v>-366318.47677867551</v>
      </c>
      <c r="G294" s="11">
        <f t="shared" si="49"/>
        <v>-418590.42250247282</v>
      </c>
      <c r="H294" s="11">
        <f t="shared" si="49"/>
        <v>-418175.56579037925</v>
      </c>
      <c r="I294" s="11">
        <f t="shared" si="49"/>
        <v>-343916.21432561934</v>
      </c>
      <c r="J294" s="11">
        <f t="shared" si="49"/>
        <v>-343916.21432561934</v>
      </c>
      <c r="K294" s="11">
        <f t="shared" si="50"/>
        <v>-158890.12073186037</v>
      </c>
      <c r="L294" s="11">
        <f t="shared" si="50"/>
        <v>-148933.55964161322</v>
      </c>
      <c r="M294" s="11">
        <f t="shared" si="50"/>
        <v>-151007.84320208139</v>
      </c>
      <c r="N294" s="11">
        <f t="shared" si="50"/>
        <v>-140636.42539974063</v>
      </c>
      <c r="O294" s="11">
        <f t="shared" si="50"/>
        <v>-133998.71800624253</v>
      </c>
      <c r="P294" s="11">
        <f t="shared" si="50"/>
        <v>-137317.57170299158</v>
      </c>
    </row>
    <row r="295" spans="1:16">
      <c r="A295">
        <v>15</v>
      </c>
      <c r="B295" s="11">
        <f t="shared" si="49"/>
        <v>-508702.93919830566</v>
      </c>
      <c r="C295" s="11">
        <f t="shared" si="49"/>
        <v>-508702.93919830566</v>
      </c>
      <c r="D295" s="11">
        <f t="shared" si="49"/>
        <v>-453925.74226167111</v>
      </c>
      <c r="E295" s="11">
        <f t="shared" si="49"/>
        <v>-432175.97288977198</v>
      </c>
      <c r="F295" s="11">
        <f t="shared" si="49"/>
        <v>-355649.0065812383</v>
      </c>
      <c r="G295" s="11">
        <f t="shared" si="49"/>
        <v>-406398.46844900271</v>
      </c>
      <c r="H295" s="11">
        <f t="shared" si="49"/>
        <v>-405995.69494211575</v>
      </c>
      <c r="I295" s="11">
        <f t="shared" si="49"/>
        <v>-333899.23720933916</v>
      </c>
      <c r="J295" s="11">
        <f t="shared" si="49"/>
        <v>-333899.23720933916</v>
      </c>
      <c r="K295" s="11">
        <f t="shared" si="50"/>
        <v>-154262.25313772849</v>
      </c>
      <c r="L295" s="11">
        <f t="shared" si="50"/>
        <v>-144595.68897244</v>
      </c>
      <c r="M295" s="11">
        <f t="shared" si="50"/>
        <v>-146609.55650687512</v>
      </c>
      <c r="N295" s="11">
        <f t="shared" si="50"/>
        <v>-136540.21883469963</v>
      </c>
      <c r="O295" s="11">
        <f t="shared" si="50"/>
        <v>-130095.84272450731</v>
      </c>
      <c r="P295" s="11">
        <f t="shared" si="50"/>
        <v>-133318.03077960346</v>
      </c>
    </row>
    <row r="296" spans="1:16">
      <c r="A296">
        <v>16</v>
      </c>
      <c r="B296" s="11">
        <f t="shared" si="49"/>
        <v>-493886.34873621922</v>
      </c>
      <c r="C296" s="11">
        <f t="shared" si="49"/>
        <v>-493886.34873621922</v>
      </c>
      <c r="D296" s="11">
        <f t="shared" si="49"/>
        <v>-440704.60413754487</v>
      </c>
      <c r="E296" s="11">
        <f t="shared" si="49"/>
        <v>-419588.32319395343</v>
      </c>
      <c r="F296" s="11">
        <f t="shared" si="49"/>
        <v>-345290.29765168775</v>
      </c>
      <c r="G296" s="11">
        <f t="shared" si="49"/>
        <v>-394561.6198534008</v>
      </c>
      <c r="H296" s="11">
        <f t="shared" si="49"/>
        <v>-394170.57761370466</v>
      </c>
      <c r="I296" s="11">
        <f t="shared" si="49"/>
        <v>-324174.01670809631</v>
      </c>
      <c r="J296" s="11">
        <f t="shared" si="49"/>
        <v>-324174.01670809631</v>
      </c>
      <c r="K296" s="11">
        <f t="shared" si="50"/>
        <v>-149769.17780361994</v>
      </c>
      <c r="L296" s="11">
        <f t="shared" si="50"/>
        <v>-140384.16405091266</v>
      </c>
      <c r="M296" s="11">
        <f t="shared" si="50"/>
        <v>-142339.37524939334</v>
      </c>
      <c r="N296" s="11">
        <f t="shared" si="50"/>
        <v>-132563.31925698995</v>
      </c>
      <c r="O296" s="11">
        <f t="shared" si="50"/>
        <v>-126306.64342185178</v>
      </c>
      <c r="P296" s="11">
        <f t="shared" si="50"/>
        <v>-129434.98133942088</v>
      </c>
    </row>
    <row r="297" spans="1:16">
      <c r="A297">
        <v>17</v>
      </c>
      <c r="B297" s="11">
        <f t="shared" si="49"/>
        <v>-479501.30945264001</v>
      </c>
      <c r="C297" s="11">
        <f t="shared" si="49"/>
        <v>-479501.30945264001</v>
      </c>
      <c r="D297" s="11">
        <f t="shared" si="49"/>
        <v>-427868.54770635423</v>
      </c>
      <c r="E297" s="11">
        <f t="shared" si="49"/>
        <v>-407367.30407179944</v>
      </c>
      <c r="F297" s="11">
        <f t="shared" si="49"/>
        <v>-335233.298690959</v>
      </c>
      <c r="G297" s="11">
        <f t="shared" si="49"/>
        <v>-383069.53383825318</v>
      </c>
      <c r="H297" s="11">
        <f t="shared" si="49"/>
        <v>-382689.88117835409</v>
      </c>
      <c r="I297" s="11">
        <f t="shared" si="49"/>
        <v>-314732.05505640421</v>
      </c>
      <c r="J297" s="11">
        <f t="shared" si="49"/>
        <v>-314732.05505640421</v>
      </c>
      <c r="K297" s="11">
        <f t="shared" si="50"/>
        <v>-145406.96874137857</v>
      </c>
      <c r="L297" s="11">
        <f t="shared" si="50"/>
        <v>-136295.30490379871</v>
      </c>
      <c r="M297" s="11">
        <f t="shared" si="50"/>
        <v>-138193.56820329453</v>
      </c>
      <c r="N297" s="11">
        <f t="shared" si="50"/>
        <v>-128702.25170581549</v>
      </c>
      <c r="O297" s="11">
        <f t="shared" si="50"/>
        <v>-122627.80914742891</v>
      </c>
      <c r="P297" s="11">
        <f t="shared" si="50"/>
        <v>-125665.03042662221</v>
      </c>
    </row>
    <row r="298" spans="1:16">
      <c r="A298">
        <v>18</v>
      </c>
      <c r="B298" s="11">
        <f t="shared" si="49"/>
        <v>-465535.251895767</v>
      </c>
      <c r="C298" s="11">
        <f t="shared" si="49"/>
        <v>-465535.251895767</v>
      </c>
      <c r="D298" s="11">
        <f t="shared" si="49"/>
        <v>-415406.35699646041</v>
      </c>
      <c r="E298" s="11">
        <f t="shared" si="49"/>
        <v>-395502.23696291208</v>
      </c>
      <c r="F298" s="11">
        <f t="shared" si="49"/>
        <v>-325469.22203005728</v>
      </c>
      <c r="G298" s="11">
        <f t="shared" si="49"/>
        <v>-371912.16877500305</v>
      </c>
      <c r="H298" s="11">
        <f t="shared" si="49"/>
        <v>-371543.57395956706</v>
      </c>
      <c r="I298" s="11">
        <f t="shared" si="49"/>
        <v>-305565.10199650895</v>
      </c>
      <c r="J298" s="11">
        <f t="shared" si="49"/>
        <v>-305565.10199650895</v>
      </c>
      <c r="K298" s="11">
        <f t="shared" si="50"/>
        <v>-141171.81431201802</v>
      </c>
      <c r="L298" s="11">
        <f t="shared" si="50"/>
        <v>-132325.53874155213</v>
      </c>
      <c r="M298" s="11">
        <f t="shared" si="50"/>
        <v>-134168.51281873253</v>
      </c>
      <c r="N298" s="11">
        <f t="shared" si="50"/>
        <v>-124953.64243283057</v>
      </c>
      <c r="O298" s="11">
        <f t="shared" si="50"/>
        <v>-119056.1253858533</v>
      </c>
      <c r="P298" s="11">
        <f t="shared" si="50"/>
        <v>-122004.88390934194</v>
      </c>
    </row>
    <row r="299" spans="1:16">
      <c r="A299">
        <v>19</v>
      </c>
      <c r="B299" s="11">
        <f t="shared" si="49"/>
        <v>-451975.97271433688</v>
      </c>
      <c r="C299" s="11">
        <f t="shared" si="49"/>
        <v>-451975.97271433688</v>
      </c>
      <c r="D299" s="11">
        <f t="shared" si="49"/>
        <v>-403307.14271501009</v>
      </c>
      <c r="E299" s="11">
        <f t="shared" si="49"/>
        <v>-383982.75433292438</v>
      </c>
      <c r="F299" s="11">
        <f t="shared" si="49"/>
        <v>-315989.53595151193</v>
      </c>
      <c r="G299" s="11">
        <f t="shared" si="49"/>
        <v>-361079.77550971176</v>
      </c>
      <c r="H299" s="11">
        <f t="shared" si="49"/>
        <v>-360721.91646559909</v>
      </c>
      <c r="I299" s="11">
        <f t="shared" si="49"/>
        <v>-296665.14756942616</v>
      </c>
      <c r="J299" s="11">
        <f t="shared" si="49"/>
        <v>-296665.14756942616</v>
      </c>
      <c r="K299" s="11">
        <f t="shared" si="50"/>
        <v>-137060.01389516314</v>
      </c>
      <c r="L299" s="11">
        <f t="shared" si="50"/>
        <v>-128471.39683645839</v>
      </c>
      <c r="M299" s="11">
        <f t="shared" si="50"/>
        <v>-130260.69205702189</v>
      </c>
      <c r="N299" s="11">
        <f t="shared" si="50"/>
        <v>-121314.21595420445</v>
      </c>
      <c r="O299" s="11">
        <f t="shared" si="50"/>
        <v>-115588.47124840127</v>
      </c>
      <c r="P299" s="11">
        <f t="shared" si="50"/>
        <v>-118451.34360130285</v>
      </c>
    </row>
    <row r="300" spans="1:16">
      <c r="A300">
        <v>20</v>
      </c>
      <c r="B300" s="11">
        <f t="shared" si="49"/>
        <v>-438811.62399450183</v>
      </c>
      <c r="C300" s="11">
        <f t="shared" si="49"/>
        <v>-438811.62399450183</v>
      </c>
      <c r="D300" s="11">
        <f t="shared" si="49"/>
        <v>-391560.33273301955</v>
      </c>
      <c r="E300" s="11">
        <f t="shared" si="49"/>
        <v>-372798.7906144897</v>
      </c>
      <c r="F300" s="11">
        <f t="shared" si="49"/>
        <v>-306785.95723447757</v>
      </c>
      <c r="G300" s="11">
        <f t="shared" si="49"/>
        <v>-350562.88884438033</v>
      </c>
      <c r="H300" s="11">
        <f t="shared" si="49"/>
        <v>-350215.4528792224</v>
      </c>
      <c r="I300" s="11">
        <f t="shared" si="49"/>
        <v>-288024.41511594772</v>
      </c>
      <c r="J300" s="11">
        <f t="shared" si="49"/>
        <v>-288024.41511594772</v>
      </c>
      <c r="K300" s="11">
        <f t="shared" si="50"/>
        <v>-133067.9746554982</v>
      </c>
      <c r="L300" s="11">
        <f t="shared" si="50"/>
        <v>-124729.51149170716</v>
      </c>
      <c r="M300" s="11">
        <f t="shared" si="50"/>
        <v>-126466.69131749698</v>
      </c>
      <c r="N300" s="11">
        <f t="shared" si="50"/>
        <v>-117780.792188548</v>
      </c>
      <c r="O300" s="11">
        <f t="shared" si="50"/>
        <v>-112221.81674602066</v>
      </c>
      <c r="P300" s="11">
        <f t="shared" si="50"/>
        <v>-115001.30446728434</v>
      </c>
    </row>
    <row r="301" spans="1:16">
      <c r="B301" s="11"/>
      <c r="C301" s="11"/>
      <c r="D301" s="11"/>
      <c r="E301" s="11"/>
      <c r="F301" s="11"/>
      <c r="G301" s="11"/>
      <c r="H301" s="11"/>
      <c r="I301" s="11"/>
      <c r="J301" s="11"/>
      <c r="K301" s="11"/>
      <c r="L301" s="11"/>
      <c r="M301" s="11"/>
      <c r="N301" s="11"/>
      <c r="O301" s="11"/>
      <c r="P301" s="11"/>
    </row>
    <row r="302" spans="1:16">
      <c r="A302" t="s">
        <v>225</v>
      </c>
      <c r="B302" s="11">
        <f>SUM(B281:B300)</f>
        <v>-11814116.432014992</v>
      </c>
      <c r="C302" s="11">
        <f t="shared" ref="C302:P302" si="51">SUM(C281:C300)</f>
        <v>-11814116.432014992</v>
      </c>
      <c r="D302" s="11">
        <f t="shared" si="51"/>
        <v>-10541970.877973795</v>
      </c>
      <c r="E302" s="11">
        <f t="shared" si="51"/>
        <v>-10036854.26092802</v>
      </c>
      <c r="F302" s="11">
        <f t="shared" si="51"/>
        <v>-8259592.0898410482</v>
      </c>
      <c r="G302" s="11">
        <f t="shared" si="51"/>
        <v>-9438197.5296145119</v>
      </c>
      <c r="H302" s="11">
        <f t="shared" si="51"/>
        <v>-9428843.5181877408</v>
      </c>
      <c r="I302" s="11">
        <f t="shared" si="51"/>
        <v>-7754475.4727952741</v>
      </c>
      <c r="J302" s="11">
        <f t="shared" si="51"/>
        <v>-7754475.4727952741</v>
      </c>
      <c r="K302" s="11">
        <f t="shared" si="51"/>
        <v>-3582586.3764542704</v>
      </c>
      <c r="L302" s="11">
        <f t="shared" si="51"/>
        <v>-3358090.1022117045</v>
      </c>
      <c r="M302" s="11">
        <f t="shared" si="51"/>
        <v>-3404860.1593455728</v>
      </c>
      <c r="N302" s="11">
        <f t="shared" si="51"/>
        <v>-3171009.8736762335</v>
      </c>
      <c r="O302" s="11">
        <f t="shared" si="51"/>
        <v>-3021345.690847856</v>
      </c>
      <c r="P302" s="11">
        <f t="shared" si="51"/>
        <v>-3096177.7822620445</v>
      </c>
    </row>
    <row r="304" spans="1:16">
      <c r="A304" t="s">
        <v>200</v>
      </c>
    </row>
    <row r="305" spans="1:16">
      <c r="A305" t="s">
        <v>100</v>
      </c>
    </row>
    <row r="306" spans="1:16">
      <c r="A306">
        <v>1</v>
      </c>
      <c r="B306" s="11">
        <f t="shared" ref="B306:P306" si="52">-$B$176*B243</f>
        <v>-220031.15853799341</v>
      </c>
      <c r="C306" s="11">
        <f t="shared" si="52"/>
        <v>-220031.31019977905</v>
      </c>
      <c r="D306" s="11">
        <f t="shared" si="52"/>
        <v>-226818.65539977903</v>
      </c>
      <c r="E306" s="11">
        <f t="shared" si="52"/>
        <v>-224456.65973799344</v>
      </c>
      <c r="F306" s="11">
        <f t="shared" si="52"/>
        <v>-231280.43933799345</v>
      </c>
      <c r="G306" s="11">
        <f t="shared" si="52"/>
        <v>-206608.43793799344</v>
      </c>
      <c r="H306" s="11">
        <f t="shared" si="52"/>
        <v>-206608.43793799344</v>
      </c>
      <c r="I306" s="11">
        <f t="shared" si="52"/>
        <v>-209275.81953799343</v>
      </c>
      <c r="J306" s="11">
        <f t="shared" si="52"/>
        <v>-209321.12283799346</v>
      </c>
      <c r="K306" s="11">
        <f t="shared" si="52"/>
        <v>-197505.35103799342</v>
      </c>
      <c r="L306" s="11">
        <f t="shared" si="52"/>
        <v>-185955.88593799341</v>
      </c>
      <c r="M306" s="11">
        <f t="shared" si="52"/>
        <v>-185553.66119977905</v>
      </c>
      <c r="N306" s="11">
        <f t="shared" si="52"/>
        <v>-171009.86369977906</v>
      </c>
      <c r="O306" s="11">
        <f t="shared" si="52"/>
        <v>-139936.12263799342</v>
      </c>
      <c r="P306" s="11">
        <f t="shared" si="52"/>
        <v>-139577.92279977904</v>
      </c>
    </row>
    <row r="307" spans="1:16">
      <c r="A307">
        <v>2</v>
      </c>
      <c r="B307" s="11">
        <f t="shared" ref="B307:J316" si="53">B$306/((1+$B$173)^$A307)</f>
        <v>-207400.46991987314</v>
      </c>
      <c r="C307" s="11">
        <f t="shared" si="53"/>
        <v>-207400.61287565186</v>
      </c>
      <c r="D307" s="11">
        <f t="shared" si="53"/>
        <v>-213798.33669505047</v>
      </c>
      <c r="E307" s="11">
        <f t="shared" si="53"/>
        <v>-211571.92924685968</v>
      </c>
      <c r="F307" s="11">
        <f t="shared" si="53"/>
        <v>-218003.99598265006</v>
      </c>
      <c r="G307" s="11">
        <f t="shared" si="53"/>
        <v>-194748.26839286779</v>
      </c>
      <c r="H307" s="11">
        <f t="shared" si="53"/>
        <v>-194748.26839286779</v>
      </c>
      <c r="I307" s="11">
        <f t="shared" si="53"/>
        <v>-197262.53137712643</v>
      </c>
      <c r="J307" s="11">
        <f t="shared" si="53"/>
        <v>-197305.23408237673</v>
      </c>
      <c r="K307" s="11">
        <f t="shared" ref="K307:P316" si="54">K$306/((1+$B$173)^$A307)</f>
        <v>-186167.73592043872</v>
      </c>
      <c r="L307" s="11">
        <f t="shared" si="54"/>
        <v>-175281.25736449563</v>
      </c>
      <c r="M307" s="11">
        <f t="shared" si="54"/>
        <v>-174902.12197170238</v>
      </c>
      <c r="N307" s="11">
        <f t="shared" si="54"/>
        <v>-161193.19794493268</v>
      </c>
      <c r="O307" s="11">
        <f t="shared" si="54"/>
        <v>-131903.21673861195</v>
      </c>
      <c r="P307" s="11">
        <f t="shared" si="54"/>
        <v>-131565.57903645872</v>
      </c>
    </row>
    <row r="308" spans="1:16">
      <c r="A308">
        <v>3</v>
      </c>
      <c r="B308" s="11">
        <f t="shared" si="53"/>
        <v>-201359.67953385742</v>
      </c>
      <c r="C308" s="11">
        <f t="shared" si="53"/>
        <v>-201359.81832587559</v>
      </c>
      <c r="D308" s="11">
        <f t="shared" si="53"/>
        <v>-207571.20067480628</v>
      </c>
      <c r="E308" s="11">
        <f t="shared" si="53"/>
        <v>-205409.64004549483</v>
      </c>
      <c r="F308" s="11">
        <f t="shared" si="53"/>
        <v>-211654.3650316991</v>
      </c>
      <c r="G308" s="11">
        <f t="shared" si="53"/>
        <v>-189075.9887309396</v>
      </c>
      <c r="H308" s="11">
        <f t="shared" si="53"/>
        <v>-189075.9887309396</v>
      </c>
      <c r="I308" s="11">
        <f t="shared" si="53"/>
        <v>-191517.02075449168</v>
      </c>
      <c r="J308" s="11">
        <f t="shared" si="53"/>
        <v>-191558.47969162787</v>
      </c>
      <c r="K308" s="11">
        <f t="shared" si="54"/>
        <v>-180745.37468003758</v>
      </c>
      <c r="L308" s="11">
        <f t="shared" si="54"/>
        <v>-170175.97802378217</v>
      </c>
      <c r="M308" s="11">
        <f t="shared" si="54"/>
        <v>-169807.88540941977</v>
      </c>
      <c r="N308" s="11">
        <f t="shared" si="54"/>
        <v>-156498.25043197346</v>
      </c>
      <c r="O308" s="11">
        <f t="shared" si="54"/>
        <v>-128061.37547438053</v>
      </c>
      <c r="P308" s="11">
        <f t="shared" si="54"/>
        <v>-127733.571880057</v>
      </c>
    </row>
    <row r="309" spans="1:16">
      <c r="A309">
        <v>4</v>
      </c>
      <c r="B309" s="11">
        <f t="shared" si="53"/>
        <v>-195494.8344988907</v>
      </c>
      <c r="C309" s="11">
        <f t="shared" si="53"/>
        <v>-195494.96924842292</v>
      </c>
      <c r="D309" s="11">
        <f t="shared" si="53"/>
        <v>-201525.43754835561</v>
      </c>
      <c r="E309" s="11">
        <f t="shared" si="53"/>
        <v>-199426.83499562606</v>
      </c>
      <c r="F309" s="11">
        <f t="shared" si="53"/>
        <v>-205489.67478805737</v>
      </c>
      <c r="G309" s="11">
        <f t="shared" si="53"/>
        <v>-183568.92109799964</v>
      </c>
      <c r="H309" s="11">
        <f t="shared" si="53"/>
        <v>-183568.92109799964</v>
      </c>
      <c r="I309" s="11">
        <f t="shared" si="53"/>
        <v>-185938.85510144825</v>
      </c>
      <c r="J309" s="11">
        <f t="shared" si="53"/>
        <v>-185979.1064967261</v>
      </c>
      <c r="K309" s="11">
        <f t="shared" si="54"/>
        <v>-175480.94629129863</v>
      </c>
      <c r="L309" s="11">
        <f t="shared" si="54"/>
        <v>-165219.39613959435</v>
      </c>
      <c r="M309" s="11">
        <f t="shared" si="54"/>
        <v>-164862.02466933959</v>
      </c>
      <c r="N309" s="11">
        <f t="shared" si="54"/>
        <v>-151940.04896308103</v>
      </c>
      <c r="O309" s="11">
        <f t="shared" si="54"/>
        <v>-124331.43249939859</v>
      </c>
      <c r="P309" s="11">
        <f t="shared" si="54"/>
        <v>-124013.17658257962</v>
      </c>
    </row>
    <row r="310" spans="1:16">
      <c r="A310">
        <v>5</v>
      </c>
      <c r="B310" s="11">
        <f t="shared" si="53"/>
        <v>-189800.81019309777</v>
      </c>
      <c r="C310" s="11">
        <f t="shared" si="53"/>
        <v>-189800.94101788633</v>
      </c>
      <c r="D310" s="11">
        <f t="shared" si="53"/>
        <v>-195655.764610054</v>
      </c>
      <c r="E310" s="11">
        <f t="shared" si="53"/>
        <v>-193618.28640352047</v>
      </c>
      <c r="F310" s="11">
        <f t="shared" si="53"/>
        <v>-199504.53862918194</v>
      </c>
      <c r="G310" s="11">
        <f t="shared" si="53"/>
        <v>-178222.25349320352</v>
      </c>
      <c r="H310" s="11">
        <f t="shared" si="53"/>
        <v>-178222.25349320352</v>
      </c>
      <c r="I310" s="11">
        <f t="shared" si="53"/>
        <v>-180523.16029266821</v>
      </c>
      <c r="J310" s="11">
        <f t="shared" si="53"/>
        <v>-180562.23931720984</v>
      </c>
      <c r="K310" s="11">
        <f t="shared" si="54"/>
        <v>-170369.85076825111</v>
      </c>
      <c r="L310" s="11">
        <f t="shared" si="54"/>
        <v>-160407.18071805278</v>
      </c>
      <c r="M310" s="11">
        <f t="shared" si="54"/>
        <v>-160060.21812557243</v>
      </c>
      <c r="N310" s="11">
        <f t="shared" si="54"/>
        <v>-147514.61064376801</v>
      </c>
      <c r="O310" s="11">
        <f t="shared" si="54"/>
        <v>-120710.12864019281</v>
      </c>
      <c r="P310" s="11">
        <f t="shared" si="54"/>
        <v>-120401.1423131841</v>
      </c>
    </row>
    <row r="311" spans="1:16">
      <c r="A311">
        <v>6</v>
      </c>
      <c r="B311" s="11">
        <f t="shared" si="53"/>
        <v>-184272.63125543474</v>
      </c>
      <c r="C311" s="11">
        <f t="shared" si="53"/>
        <v>-184272.75826979254</v>
      </c>
      <c r="D311" s="11">
        <f t="shared" si="53"/>
        <v>-189957.05301946989</v>
      </c>
      <c r="E311" s="11">
        <f t="shared" si="53"/>
        <v>-187978.91883836937</v>
      </c>
      <c r="F311" s="11">
        <f t="shared" si="53"/>
        <v>-193693.72682444847</v>
      </c>
      <c r="G311" s="11">
        <f t="shared" si="53"/>
        <v>-173031.31407107139</v>
      </c>
      <c r="H311" s="11">
        <f t="shared" si="53"/>
        <v>-173031.31407107139</v>
      </c>
      <c r="I311" s="11">
        <f t="shared" si="53"/>
        <v>-175265.20416763902</v>
      </c>
      <c r="J311" s="11">
        <f t="shared" si="53"/>
        <v>-175303.14496816488</v>
      </c>
      <c r="K311" s="11">
        <f t="shared" si="54"/>
        <v>-165407.62210509815</v>
      </c>
      <c r="L311" s="11">
        <f t="shared" si="54"/>
        <v>-155735.12691073085</v>
      </c>
      <c r="M311" s="11">
        <f t="shared" si="54"/>
        <v>-155398.27002482759</v>
      </c>
      <c r="N311" s="11">
        <f t="shared" si="54"/>
        <v>-143218.06858618252</v>
      </c>
      <c r="O311" s="11">
        <f t="shared" si="54"/>
        <v>-117194.29965067263</v>
      </c>
      <c r="P311" s="11">
        <f t="shared" si="54"/>
        <v>-116894.31292542146</v>
      </c>
    </row>
    <row r="312" spans="1:16">
      <c r="A312">
        <v>7</v>
      </c>
      <c r="B312" s="11">
        <f t="shared" si="53"/>
        <v>-178905.46723828613</v>
      </c>
      <c r="C312" s="11">
        <f t="shared" si="53"/>
        <v>-178905.59055319664</v>
      </c>
      <c r="D312" s="11">
        <f t="shared" si="53"/>
        <v>-184424.32331987369</v>
      </c>
      <c r="E312" s="11">
        <f t="shared" si="53"/>
        <v>-182503.80469744597</v>
      </c>
      <c r="F312" s="11">
        <f t="shared" si="53"/>
        <v>-188052.16196548395</v>
      </c>
      <c r="G312" s="11">
        <f t="shared" si="53"/>
        <v>-167991.5670592926</v>
      </c>
      <c r="H312" s="11">
        <f t="shared" si="53"/>
        <v>-167991.5670592926</v>
      </c>
      <c r="I312" s="11">
        <f t="shared" si="53"/>
        <v>-170160.39239576604</v>
      </c>
      <c r="J312" s="11">
        <f t="shared" si="53"/>
        <v>-170197.22812443192</v>
      </c>
      <c r="K312" s="11">
        <f t="shared" si="54"/>
        <v>-160589.92437388169</v>
      </c>
      <c r="L312" s="11">
        <f t="shared" si="54"/>
        <v>-151199.15234051537</v>
      </c>
      <c r="M312" s="11">
        <f t="shared" si="54"/>
        <v>-150872.10682022097</v>
      </c>
      <c r="N312" s="11">
        <f t="shared" si="54"/>
        <v>-139046.6685302743</v>
      </c>
      <c r="O312" s="11">
        <f t="shared" si="54"/>
        <v>-113780.87344725497</v>
      </c>
      <c r="P312" s="11">
        <f t="shared" si="54"/>
        <v>-113489.6241994383</v>
      </c>
    </row>
    <row r="313" spans="1:16">
      <c r="A313">
        <v>8</v>
      </c>
      <c r="B313" s="11">
        <f t="shared" si="53"/>
        <v>-173694.6283866856</v>
      </c>
      <c r="C313" s="11">
        <f t="shared" si="53"/>
        <v>-173694.74810989966</v>
      </c>
      <c r="D313" s="11">
        <f t="shared" si="53"/>
        <v>-179052.74108725603</v>
      </c>
      <c r="E313" s="11">
        <f t="shared" si="53"/>
        <v>-177188.15990043301</v>
      </c>
      <c r="F313" s="11">
        <f t="shared" si="53"/>
        <v>-182574.91452959608</v>
      </c>
      <c r="G313" s="11">
        <f t="shared" si="53"/>
        <v>-163098.60879542973</v>
      </c>
      <c r="H313" s="11">
        <f t="shared" si="53"/>
        <v>-163098.60879542973</v>
      </c>
      <c r="I313" s="11">
        <f t="shared" si="53"/>
        <v>-165204.26446190881</v>
      </c>
      <c r="J313" s="11">
        <f t="shared" si="53"/>
        <v>-165240.02730527372</v>
      </c>
      <c r="K313" s="11">
        <f t="shared" si="54"/>
        <v>-155912.5479358075</v>
      </c>
      <c r="L313" s="11">
        <f t="shared" si="54"/>
        <v>-146795.29353448097</v>
      </c>
      <c r="M313" s="11">
        <f t="shared" si="54"/>
        <v>-146477.77361186504</v>
      </c>
      <c r="N313" s="11">
        <f t="shared" si="54"/>
        <v>-134996.7655633731</v>
      </c>
      <c r="O313" s="11">
        <f t="shared" si="54"/>
        <v>-110466.8674245194</v>
      </c>
      <c r="P313" s="11">
        <f t="shared" si="54"/>
        <v>-110184.10116450321</v>
      </c>
    </row>
    <row r="314" spans="1:16">
      <c r="A314">
        <v>9</v>
      </c>
      <c r="B314" s="11">
        <f t="shared" si="53"/>
        <v>-168635.56154047145</v>
      </c>
      <c r="C314" s="11">
        <f t="shared" si="53"/>
        <v>-168635.6777766016</v>
      </c>
      <c r="D314" s="11">
        <f t="shared" si="53"/>
        <v>-173837.61270607379</v>
      </c>
      <c r="E314" s="11">
        <f t="shared" si="53"/>
        <v>-172027.33970915826</v>
      </c>
      <c r="F314" s="11">
        <f t="shared" si="53"/>
        <v>-177257.19857242337</v>
      </c>
      <c r="G314" s="11">
        <f t="shared" si="53"/>
        <v>-158348.16387905797</v>
      </c>
      <c r="H314" s="11">
        <f t="shared" si="53"/>
        <v>-158348.16387905797</v>
      </c>
      <c r="I314" s="11">
        <f t="shared" si="53"/>
        <v>-160392.48976884349</v>
      </c>
      <c r="J314" s="11">
        <f t="shared" si="53"/>
        <v>-160427.21097599389</v>
      </c>
      <c r="K314" s="11">
        <f t="shared" si="54"/>
        <v>-151371.40576291989</v>
      </c>
      <c r="L314" s="11">
        <f t="shared" si="54"/>
        <v>-142519.70246066112</v>
      </c>
      <c r="M314" s="11">
        <f t="shared" si="54"/>
        <v>-142211.4306911311</v>
      </c>
      <c r="N314" s="11">
        <f t="shared" si="54"/>
        <v>-131064.82093531369</v>
      </c>
      <c r="O314" s="11">
        <f t="shared" si="54"/>
        <v>-107249.38584904796</v>
      </c>
      <c r="P314" s="11">
        <f t="shared" si="54"/>
        <v>-106974.85549951768</v>
      </c>
    </row>
    <row r="315" spans="1:16">
      <c r="A315">
        <v>10</v>
      </c>
      <c r="B315" s="11">
        <f t="shared" si="53"/>
        <v>-163723.84615579751</v>
      </c>
      <c r="C315" s="11">
        <f t="shared" si="53"/>
        <v>-163723.95900640934</v>
      </c>
      <c r="D315" s="11">
        <f t="shared" si="53"/>
        <v>-168774.38126803283</v>
      </c>
      <c r="E315" s="11">
        <f t="shared" si="53"/>
        <v>-167016.83466908569</v>
      </c>
      <c r="F315" s="11">
        <f t="shared" si="53"/>
        <v>-172094.36754604211</v>
      </c>
      <c r="G315" s="11">
        <f t="shared" si="53"/>
        <v>-153736.08143597862</v>
      </c>
      <c r="H315" s="11">
        <f t="shared" si="53"/>
        <v>-153736.08143597862</v>
      </c>
      <c r="I315" s="11">
        <f t="shared" si="53"/>
        <v>-155720.86385324609</v>
      </c>
      <c r="J315" s="11">
        <f t="shared" si="53"/>
        <v>-155754.57376310087</v>
      </c>
      <c r="K315" s="11">
        <f t="shared" si="54"/>
        <v>-146962.52986691252</v>
      </c>
      <c r="L315" s="11">
        <f t="shared" si="54"/>
        <v>-138368.64316569042</v>
      </c>
      <c r="M315" s="11">
        <f t="shared" si="54"/>
        <v>-138069.35018556417</v>
      </c>
      <c r="N315" s="11">
        <f t="shared" si="54"/>
        <v>-127247.39896632398</v>
      </c>
      <c r="O315" s="11">
        <f t="shared" si="54"/>
        <v>-104125.61732917278</v>
      </c>
      <c r="P315" s="11">
        <f t="shared" si="54"/>
        <v>-103859.08300924046</v>
      </c>
    </row>
    <row r="316" spans="1:16">
      <c r="A316">
        <v>11</v>
      </c>
      <c r="B316" s="11">
        <f t="shared" si="53"/>
        <v>-158955.19044252185</v>
      </c>
      <c r="C316" s="11">
        <f t="shared" si="53"/>
        <v>-158955.30000622265</v>
      </c>
      <c r="D316" s="11">
        <f t="shared" si="53"/>
        <v>-163858.62259032312</v>
      </c>
      <c r="E316" s="11">
        <f t="shared" si="53"/>
        <v>-162152.26666901523</v>
      </c>
      <c r="F316" s="11">
        <f t="shared" si="53"/>
        <v>-167081.91023887583</v>
      </c>
      <c r="G316" s="11">
        <f t="shared" si="53"/>
        <v>-149258.33149124138</v>
      </c>
      <c r="H316" s="11">
        <f t="shared" si="53"/>
        <v>-149258.33149124138</v>
      </c>
      <c r="I316" s="11">
        <f t="shared" si="53"/>
        <v>-151185.30471188942</v>
      </c>
      <c r="J316" s="11">
        <f t="shared" si="53"/>
        <v>-151218.03277970958</v>
      </c>
      <c r="K316" s="11">
        <f t="shared" si="54"/>
        <v>-142682.06783195387</v>
      </c>
      <c r="L316" s="11">
        <f t="shared" si="54"/>
        <v>-134338.48851037904</v>
      </c>
      <c r="M316" s="11">
        <f t="shared" si="54"/>
        <v>-134047.9128015186</v>
      </c>
      <c r="N316" s="11">
        <f t="shared" si="54"/>
        <v>-123541.16404497472</v>
      </c>
      <c r="O316" s="11">
        <f t="shared" si="54"/>
        <v>-101092.83235842017</v>
      </c>
      <c r="P316" s="11">
        <f t="shared" si="54"/>
        <v>-100834.06117401987</v>
      </c>
    </row>
    <row r="317" spans="1:16">
      <c r="A317">
        <v>12</v>
      </c>
      <c r="B317" s="11">
        <f t="shared" ref="B317:J325" si="55">B$306/((1+$B$173)^$A317)</f>
        <v>-154325.42761409891</v>
      </c>
      <c r="C317" s="11">
        <f t="shared" si="55"/>
        <v>-154325.53398662395</v>
      </c>
      <c r="D317" s="11">
        <f t="shared" si="55"/>
        <v>-159086.0413498283</v>
      </c>
      <c r="E317" s="11">
        <f t="shared" si="55"/>
        <v>-157429.38511554879</v>
      </c>
      <c r="F317" s="11">
        <f t="shared" si="55"/>
        <v>-162215.44683386004</v>
      </c>
      <c r="G317" s="11">
        <f t="shared" si="55"/>
        <v>-144911.00144780718</v>
      </c>
      <c r="H317" s="11">
        <f t="shared" si="55"/>
        <v>-144911.00144780718</v>
      </c>
      <c r="I317" s="11">
        <f t="shared" si="55"/>
        <v>-146781.84923484412</v>
      </c>
      <c r="J317" s="11">
        <f t="shared" si="55"/>
        <v>-146813.62405797048</v>
      </c>
      <c r="K317" s="11">
        <f t="shared" ref="K317:P325" si="56">K$306/((1+$B$173)^$A317)</f>
        <v>-138526.27944849894</v>
      </c>
      <c r="L317" s="11">
        <f t="shared" si="56"/>
        <v>-130425.71700036801</v>
      </c>
      <c r="M317" s="11">
        <f t="shared" si="56"/>
        <v>-130143.60466166856</v>
      </c>
      <c r="N317" s="11">
        <f t="shared" si="56"/>
        <v>-119942.87771356771</v>
      </c>
      <c r="O317" s="11">
        <f t="shared" si="56"/>
        <v>-98148.380930505038</v>
      </c>
      <c r="P317" s="11">
        <f t="shared" si="56"/>
        <v>-97897.146770893087</v>
      </c>
    </row>
    <row r="318" spans="1:16">
      <c r="A318">
        <v>13</v>
      </c>
      <c r="B318" s="11">
        <f t="shared" si="55"/>
        <v>-149830.512246698</v>
      </c>
      <c r="C318" s="11">
        <f t="shared" si="55"/>
        <v>-149830.61552099415</v>
      </c>
      <c r="D318" s="11">
        <f t="shared" si="55"/>
        <v>-154452.4673299304</v>
      </c>
      <c r="E318" s="11">
        <f t="shared" si="55"/>
        <v>-152844.06321897943</v>
      </c>
      <c r="F318" s="11">
        <f t="shared" si="55"/>
        <v>-157490.72508141753</v>
      </c>
      <c r="G318" s="11">
        <f t="shared" si="55"/>
        <v>-140690.29266777396</v>
      </c>
      <c r="H318" s="11">
        <f t="shared" si="55"/>
        <v>-140690.29266777396</v>
      </c>
      <c r="I318" s="11">
        <f t="shared" si="55"/>
        <v>-142506.6497425671</v>
      </c>
      <c r="J318" s="11">
        <f t="shared" si="55"/>
        <v>-142537.49908540826</v>
      </c>
      <c r="K318" s="11">
        <f t="shared" si="56"/>
        <v>-134491.5334451446</v>
      </c>
      <c r="L318" s="11">
        <f t="shared" si="56"/>
        <v>-126626.90970909517</v>
      </c>
      <c r="M318" s="11">
        <f t="shared" si="56"/>
        <v>-126353.01423462968</v>
      </c>
      <c r="N318" s="11">
        <f t="shared" si="56"/>
        <v>-116449.39583841526</v>
      </c>
      <c r="O318" s="11">
        <f t="shared" si="56"/>
        <v>-95289.690223791302</v>
      </c>
      <c r="P318" s="11">
        <f t="shared" si="56"/>
        <v>-95045.773563973882</v>
      </c>
    </row>
    <row r="319" spans="1:16">
      <c r="A319">
        <v>14</v>
      </c>
      <c r="B319" s="11">
        <f t="shared" si="55"/>
        <v>-145466.51674436696</v>
      </c>
      <c r="C319" s="11">
        <f t="shared" si="55"/>
        <v>-145466.61701067392</v>
      </c>
      <c r="D319" s="11">
        <f t="shared" si="55"/>
        <v>-149953.85177663143</v>
      </c>
      <c r="E319" s="11">
        <f t="shared" si="55"/>
        <v>-148392.29438735865</v>
      </c>
      <c r="F319" s="11">
        <f t="shared" si="55"/>
        <v>-152903.6165839005</v>
      </c>
      <c r="G319" s="11">
        <f t="shared" si="55"/>
        <v>-136592.5171531786</v>
      </c>
      <c r="H319" s="11">
        <f t="shared" si="55"/>
        <v>-136592.5171531786</v>
      </c>
      <c r="I319" s="11">
        <f t="shared" si="55"/>
        <v>-138355.97062385155</v>
      </c>
      <c r="J319" s="11">
        <f t="shared" si="55"/>
        <v>-138385.92144214391</v>
      </c>
      <c r="K319" s="11">
        <f t="shared" si="56"/>
        <v>-130574.30431567437</v>
      </c>
      <c r="L319" s="11">
        <f t="shared" si="56"/>
        <v>-122938.74729038365</v>
      </c>
      <c r="M319" s="11">
        <f t="shared" si="56"/>
        <v>-122672.82935400939</v>
      </c>
      <c r="N319" s="11">
        <f t="shared" si="56"/>
        <v>-113057.66586253908</v>
      </c>
      <c r="O319" s="11">
        <f t="shared" si="56"/>
        <v>-92514.26235319543</v>
      </c>
      <c r="P319" s="11">
        <f t="shared" si="56"/>
        <v>-92277.450062110554</v>
      </c>
    </row>
    <row r="320" spans="1:16">
      <c r="A320">
        <v>15</v>
      </c>
      <c r="B320" s="11">
        <f t="shared" si="55"/>
        <v>-141229.62790715237</v>
      </c>
      <c r="C320" s="11">
        <f t="shared" si="55"/>
        <v>-141229.72525308144</v>
      </c>
      <c r="D320" s="11">
        <f t="shared" si="55"/>
        <v>-145586.2638608072</v>
      </c>
      <c r="E320" s="11">
        <f t="shared" si="55"/>
        <v>-144070.18872559091</v>
      </c>
      <c r="F320" s="11">
        <f t="shared" si="55"/>
        <v>-148450.1131882529</v>
      </c>
      <c r="G320" s="11">
        <f t="shared" si="55"/>
        <v>-132614.09432347436</v>
      </c>
      <c r="H320" s="11">
        <f t="shared" si="55"/>
        <v>-132614.09432347436</v>
      </c>
      <c r="I320" s="11">
        <f t="shared" si="55"/>
        <v>-134326.18507170051</v>
      </c>
      <c r="J320" s="11">
        <f t="shared" si="55"/>
        <v>-134355.26353606203</v>
      </c>
      <c r="K320" s="11">
        <f t="shared" si="56"/>
        <v>-126771.16923851879</v>
      </c>
      <c r="L320" s="11">
        <f t="shared" si="56"/>
        <v>-119358.00707804236</v>
      </c>
      <c r="M320" s="11">
        <f t="shared" si="56"/>
        <v>-119099.83432428095</v>
      </c>
      <c r="N320" s="11">
        <f t="shared" si="56"/>
        <v>-109764.72413838745</v>
      </c>
      <c r="O320" s="11">
        <f t="shared" si="56"/>
        <v>-89819.672187568372</v>
      </c>
      <c r="P320" s="11">
        <f t="shared" si="56"/>
        <v>-89589.7573418549</v>
      </c>
    </row>
    <row r="321" spans="1:16">
      <c r="A321">
        <v>16</v>
      </c>
      <c r="B321" s="11">
        <f t="shared" si="55"/>
        <v>-137116.1435991771</v>
      </c>
      <c r="C321" s="11">
        <f t="shared" si="55"/>
        <v>-137116.23810978784</v>
      </c>
      <c r="D321" s="11">
        <f t="shared" si="55"/>
        <v>-141345.88724350216</v>
      </c>
      <c r="E321" s="11">
        <f t="shared" si="55"/>
        <v>-139873.96963649604</v>
      </c>
      <c r="F321" s="11">
        <f t="shared" si="55"/>
        <v>-144126.32348374071</v>
      </c>
      <c r="G321" s="11">
        <f t="shared" si="55"/>
        <v>-128751.54788686833</v>
      </c>
      <c r="H321" s="11">
        <f t="shared" si="55"/>
        <v>-128751.54788686833</v>
      </c>
      <c r="I321" s="11">
        <f t="shared" si="55"/>
        <v>-130413.77191427238</v>
      </c>
      <c r="J321" s="11">
        <f t="shared" si="55"/>
        <v>-130442.00343306997</v>
      </c>
      <c r="K321" s="11">
        <f t="shared" si="56"/>
        <v>-123078.80508594059</v>
      </c>
      <c r="L321" s="11">
        <f t="shared" si="56"/>
        <v>-115881.56026994406</v>
      </c>
      <c r="M321" s="11">
        <f t="shared" si="56"/>
        <v>-115630.90711095241</v>
      </c>
      <c r="N321" s="11">
        <f t="shared" si="56"/>
        <v>-106567.69333824026</v>
      </c>
      <c r="O321" s="11">
        <f t="shared" si="56"/>
        <v>-87203.565230648921</v>
      </c>
      <c r="P321" s="11">
        <f t="shared" si="56"/>
        <v>-86980.346933839726</v>
      </c>
    </row>
    <row r="322" spans="1:16">
      <c r="A322">
        <v>17</v>
      </c>
      <c r="B322" s="11">
        <f t="shared" si="55"/>
        <v>-133122.46951376417</v>
      </c>
      <c r="C322" s="11">
        <f t="shared" si="55"/>
        <v>-133122.56127163867</v>
      </c>
      <c r="D322" s="11">
        <f t="shared" si="55"/>
        <v>-137229.01674126423</v>
      </c>
      <c r="E322" s="11">
        <f t="shared" si="55"/>
        <v>-135799.97052086995</v>
      </c>
      <c r="F322" s="11">
        <f t="shared" si="55"/>
        <v>-139928.46940169</v>
      </c>
      <c r="G322" s="11">
        <f t="shared" si="55"/>
        <v>-125001.50280278479</v>
      </c>
      <c r="H322" s="11">
        <f t="shared" si="55"/>
        <v>-125001.50280278479</v>
      </c>
      <c r="I322" s="11">
        <f t="shared" si="55"/>
        <v>-126615.31253812852</v>
      </c>
      <c r="J322" s="11">
        <f t="shared" si="55"/>
        <v>-126642.72177967957</v>
      </c>
      <c r="K322" s="11">
        <f t="shared" si="56"/>
        <v>-119493.98552033068</v>
      </c>
      <c r="L322" s="11">
        <f t="shared" si="56"/>
        <v>-112506.36919412045</v>
      </c>
      <c r="M322" s="11">
        <f t="shared" si="56"/>
        <v>-112263.01661257514</v>
      </c>
      <c r="N322" s="11">
        <f t="shared" si="56"/>
        <v>-103463.77994003908</v>
      </c>
      <c r="O322" s="11">
        <f t="shared" si="56"/>
        <v>-84663.655563736815</v>
      </c>
      <c r="P322" s="11">
        <f t="shared" si="56"/>
        <v>-84446.938770718174</v>
      </c>
    </row>
    <row r="323" spans="1:16">
      <c r="A323">
        <v>18</v>
      </c>
      <c r="B323" s="11">
        <f t="shared" si="55"/>
        <v>-129245.11603278074</v>
      </c>
      <c r="C323" s="11">
        <f t="shared" si="55"/>
        <v>-129245.20511809581</v>
      </c>
      <c r="D323" s="11">
        <f t="shared" si="55"/>
        <v>-133232.05508860605</v>
      </c>
      <c r="E323" s="11">
        <f t="shared" si="55"/>
        <v>-131844.63157366015</v>
      </c>
      <c r="F323" s="11">
        <f t="shared" si="55"/>
        <v>-135852.88291426215</v>
      </c>
      <c r="G323" s="11">
        <f t="shared" si="55"/>
        <v>-121360.68233280076</v>
      </c>
      <c r="H323" s="11">
        <f t="shared" si="55"/>
        <v>-121360.68233280076</v>
      </c>
      <c r="I323" s="11">
        <f t="shared" si="55"/>
        <v>-122927.48790109565</v>
      </c>
      <c r="J323" s="11">
        <f t="shared" si="55"/>
        <v>-122954.09881522288</v>
      </c>
      <c r="K323" s="11">
        <f t="shared" si="56"/>
        <v>-116013.57817507832</v>
      </c>
      <c r="L323" s="11">
        <f t="shared" si="56"/>
        <v>-109229.48465448587</v>
      </c>
      <c r="M323" s="11">
        <f t="shared" si="56"/>
        <v>-108993.22001220888</v>
      </c>
      <c r="N323" s="11">
        <f t="shared" si="56"/>
        <v>-100450.27178644571</v>
      </c>
      <c r="O323" s="11">
        <f t="shared" si="56"/>
        <v>-82197.723848288166</v>
      </c>
      <c r="P323" s="11">
        <f t="shared" si="56"/>
        <v>-81987.31919487202</v>
      </c>
    </row>
    <row r="324" spans="1:16">
      <c r="A324">
        <v>19</v>
      </c>
      <c r="B324" s="11">
        <f t="shared" si="55"/>
        <v>-125480.69517745703</v>
      </c>
      <c r="C324" s="11">
        <f t="shared" si="55"/>
        <v>-125480.78166805419</v>
      </c>
      <c r="D324" s="11">
        <f t="shared" si="55"/>
        <v>-129351.50979476316</v>
      </c>
      <c r="E324" s="11">
        <f t="shared" si="55"/>
        <v>-128004.49667345645</v>
      </c>
      <c r="F324" s="11">
        <f t="shared" si="55"/>
        <v>-131896.00282938071</v>
      </c>
      <c r="G324" s="11">
        <f t="shared" si="55"/>
        <v>-117825.90517747647</v>
      </c>
      <c r="H324" s="11">
        <f t="shared" si="55"/>
        <v>-117825.90517747647</v>
      </c>
      <c r="I324" s="11">
        <f t="shared" si="55"/>
        <v>-119347.0756321317</v>
      </c>
      <c r="J324" s="11">
        <f t="shared" si="55"/>
        <v>-119372.91147109019</v>
      </c>
      <c r="K324" s="11">
        <f t="shared" si="56"/>
        <v>-112634.54191755177</v>
      </c>
      <c r="L324" s="11">
        <f t="shared" si="56"/>
        <v>-106048.04335386978</v>
      </c>
      <c r="M324" s="11">
        <f t="shared" si="56"/>
        <v>-105818.66020602804</v>
      </c>
      <c r="N324" s="11">
        <f t="shared" si="56"/>
        <v>-97524.535714995844</v>
      </c>
      <c r="O324" s="11">
        <f t="shared" si="56"/>
        <v>-79803.615386687539</v>
      </c>
      <c r="P324" s="11">
        <f t="shared" si="56"/>
        <v>-79599.339024147586</v>
      </c>
    </row>
    <row r="325" spans="1:16">
      <c r="A325">
        <v>20</v>
      </c>
      <c r="B325" s="11">
        <f t="shared" si="55"/>
        <v>-121825.91764801653</v>
      </c>
      <c r="C325" s="11">
        <f t="shared" si="55"/>
        <v>-121826.00161947009</v>
      </c>
      <c r="D325" s="11">
        <f t="shared" si="55"/>
        <v>-125583.99009200308</v>
      </c>
      <c r="E325" s="11">
        <f t="shared" si="55"/>
        <v>-124276.21036257908</v>
      </c>
      <c r="F325" s="11">
        <f t="shared" si="55"/>
        <v>-128054.37167901042</v>
      </c>
      <c r="G325" s="11">
        <f t="shared" si="55"/>
        <v>-114394.08269657911</v>
      </c>
      <c r="H325" s="11">
        <f t="shared" si="55"/>
        <v>-114394.08269657911</v>
      </c>
      <c r="I325" s="11">
        <f t="shared" si="55"/>
        <v>-115870.94721566184</v>
      </c>
      <c r="J325" s="11">
        <f t="shared" si="55"/>
        <v>-115896.03055445649</v>
      </c>
      <c r="K325" s="11">
        <f t="shared" si="56"/>
        <v>-109353.92419179784</v>
      </c>
      <c r="L325" s="11">
        <f t="shared" si="56"/>
        <v>-102959.26539210658</v>
      </c>
      <c r="M325" s="11">
        <f t="shared" si="56"/>
        <v>-102736.56330682334</v>
      </c>
      <c r="N325" s="11">
        <f t="shared" si="56"/>
        <v>-94684.015257277511</v>
      </c>
      <c r="O325" s="11">
        <f t="shared" si="56"/>
        <v>-77479.238239502476</v>
      </c>
      <c r="P325" s="11">
        <f t="shared" si="56"/>
        <v>-77280.911673929702</v>
      </c>
    </row>
    <row r="327" spans="1:16">
      <c r="A327" t="s">
        <v>226</v>
      </c>
      <c r="B327" s="11">
        <f>SUM(B306:B325)</f>
        <v>-3279916.7041864214</v>
      </c>
      <c r="C327" s="11">
        <f t="shared" ref="C327:P327" si="57">SUM(C306:C325)</f>
        <v>-3279918.9649481592</v>
      </c>
      <c r="D327" s="11">
        <f t="shared" si="57"/>
        <v>-3381095.2121964116</v>
      </c>
      <c r="E327" s="11">
        <f t="shared" si="57"/>
        <v>-3345885.8851275416</v>
      </c>
      <c r="F327" s="11">
        <f t="shared" si="57"/>
        <v>-3447605.2454419676</v>
      </c>
      <c r="G327" s="11">
        <f t="shared" si="57"/>
        <v>-3079829.5628738198</v>
      </c>
      <c r="H327" s="11">
        <f t="shared" si="57"/>
        <v>-3079829.5628738198</v>
      </c>
      <c r="I327" s="11">
        <f t="shared" si="57"/>
        <v>-3119591.1562972744</v>
      </c>
      <c r="J327" s="11">
        <f t="shared" si="57"/>
        <v>-3120266.4745177133</v>
      </c>
      <c r="K327" s="11">
        <f t="shared" si="57"/>
        <v>-2944133.4779131291</v>
      </c>
      <c r="L327" s="11">
        <f t="shared" si="57"/>
        <v>-2771970.2090487918</v>
      </c>
      <c r="M327" s="11">
        <f t="shared" si="57"/>
        <v>-2765974.4053341169</v>
      </c>
      <c r="N327" s="11">
        <f t="shared" si="57"/>
        <v>-2549175.8178998847</v>
      </c>
      <c r="O327" s="11">
        <f t="shared" si="57"/>
        <v>-2085971.9560135892</v>
      </c>
      <c r="P327" s="11">
        <f t="shared" si="57"/>
        <v>-2080632.413920539</v>
      </c>
    </row>
    <row r="329" spans="1:16">
      <c r="A329" t="s">
        <v>227</v>
      </c>
      <c r="B329" s="11">
        <f t="shared" ref="B329:P329" si="58">B327+B302+B223+$B$220+$B$219+B277+B249+B250+B225</f>
        <v>-20937900.549253568</v>
      </c>
      <c r="C329" s="11">
        <f t="shared" si="58"/>
        <v>-21058514.22230104</v>
      </c>
      <c r="D329" s="11">
        <f t="shared" si="58"/>
        <v>-21429955.36563953</v>
      </c>
      <c r="E329" s="11">
        <f t="shared" si="58"/>
        <v>-21747989.338695776</v>
      </c>
      <c r="F329" s="11">
        <f t="shared" si="58"/>
        <v>-20841627.654237308</v>
      </c>
      <c r="G329" s="11">
        <f t="shared" si="58"/>
        <v>-22610149.050885461</v>
      </c>
      <c r="H329" s="11">
        <f t="shared" si="58"/>
        <v>-22735265.371876419</v>
      </c>
      <c r="I329" s="11">
        <f t="shared" si="58"/>
        <v>-21794731.171531554</v>
      </c>
      <c r="J329" s="11">
        <f t="shared" si="58"/>
        <v>-21899611.704760004</v>
      </c>
      <c r="K329" s="11">
        <f t="shared" si="58"/>
        <v>-16770655.176689379</v>
      </c>
      <c r="L329" s="11">
        <f t="shared" si="58"/>
        <v>-17253662.916873321</v>
      </c>
      <c r="M329" s="11">
        <f t="shared" si="58"/>
        <v>-17373154.500272091</v>
      </c>
      <c r="N329" s="11">
        <f t="shared" si="58"/>
        <v>-17728860.268165946</v>
      </c>
      <c r="O329" s="11">
        <f t="shared" si="58"/>
        <v>-18877674.915309466</v>
      </c>
      <c r="P329" s="11">
        <f t="shared" si="58"/>
        <v>-19062074.152152818</v>
      </c>
    </row>
    <row r="330" spans="1:16">
      <c r="A330" t="s">
        <v>233</v>
      </c>
      <c r="B330" s="11">
        <f t="shared" ref="B330:P330" si="59">B329-$B$184</f>
        <v>-21162813563.338737</v>
      </c>
      <c r="C330" s="11">
        <f t="shared" si="59"/>
        <v>-21162934177.011784</v>
      </c>
      <c r="D330" s="11">
        <f t="shared" si="59"/>
        <v>-21163305618.155121</v>
      </c>
      <c r="E330" s="11">
        <f t="shared" si="59"/>
        <v>-21163623652.128178</v>
      </c>
      <c r="F330" s="11">
        <f t="shared" si="59"/>
        <v>-21162717290.443718</v>
      </c>
      <c r="G330" s="11">
        <f t="shared" si="59"/>
        <v>-21164485811.840366</v>
      </c>
      <c r="H330" s="11">
        <f t="shared" si="59"/>
        <v>-21164610928.161358</v>
      </c>
      <c r="I330" s="11">
        <f t="shared" si="59"/>
        <v>-21163670393.961014</v>
      </c>
      <c r="J330" s="11">
        <f t="shared" si="59"/>
        <v>-21163775274.494244</v>
      </c>
      <c r="K330" s="11">
        <f t="shared" si="59"/>
        <v>-21158646317.966171</v>
      </c>
      <c r="L330" s="11">
        <f t="shared" si="59"/>
        <v>-21159129325.706356</v>
      </c>
      <c r="M330" s="11">
        <f t="shared" si="59"/>
        <v>-21159248817.289753</v>
      </c>
      <c r="N330" s="11">
        <f t="shared" si="59"/>
        <v>-21159604523.057648</v>
      </c>
      <c r="O330" s="11">
        <f t="shared" si="59"/>
        <v>-21160753337.704792</v>
      </c>
      <c r="P330" s="11">
        <f t="shared" si="59"/>
        <v>-21160937736.941635</v>
      </c>
    </row>
    <row r="331" spans="1:16">
      <c r="A331" t="s">
        <v>230</v>
      </c>
      <c r="B331" s="9">
        <f>1-B244/$B$180</f>
        <v>0.25741405476119872</v>
      </c>
      <c r="C331" s="9">
        <f t="shared" ref="C331:P331" si="60">1-C244/$B$180</f>
        <v>0.25741395275184831</v>
      </c>
      <c r="D331" s="9">
        <f t="shared" si="60"/>
        <v>0.31687430439572817</v>
      </c>
      <c r="E331" s="9">
        <f t="shared" si="60"/>
        <v>0.34388493479433491</v>
      </c>
      <c r="F331" s="9">
        <f t="shared" si="60"/>
        <v>0.42874270694817951</v>
      </c>
      <c r="G331" s="9">
        <f t="shared" si="60"/>
        <v>0.38601953186715932</v>
      </c>
      <c r="H331" s="9">
        <f t="shared" si="60"/>
        <v>0.38649030828715514</v>
      </c>
      <c r="I331" s="9">
        <f t="shared" si="60"/>
        <v>0.4689651778767745</v>
      </c>
      <c r="J331" s="9">
        <f t="shared" si="60"/>
        <v>0.46893470638931589</v>
      </c>
      <c r="K331" s="9">
        <f t="shared" si="60"/>
        <v>0.68684840506609524</v>
      </c>
      <c r="L331" s="9">
        <f t="shared" si="60"/>
        <v>0.705915333750329</v>
      </c>
      <c r="M331" s="9">
        <f t="shared" si="60"/>
        <v>0.70383199234089688</v>
      </c>
      <c r="N331" s="9">
        <f t="shared" si="60"/>
        <v>0.7253837176638207</v>
      </c>
      <c r="O331" s="9">
        <f t="shared" si="60"/>
        <v>0.75381667326009971</v>
      </c>
      <c r="P331" s="9">
        <f t="shared" si="60"/>
        <v>0.75029139096882891</v>
      </c>
    </row>
    <row r="333" spans="1:16">
      <c r="A333" t="s">
        <v>236</v>
      </c>
      <c r="B333" s="40" t="s">
        <v>161</v>
      </c>
    </row>
    <row r="334" spans="1:16">
      <c r="A334" s="10" t="s">
        <v>237</v>
      </c>
      <c r="B334" s="12">
        <f>B302+B277+B223+B250+B249-$B$182-$B$181</f>
        <v>1854284.5271657417</v>
      </c>
      <c r="C334" s="12">
        <f t="shared" ref="C334:P334" si="61">C302+C277+C223+C250+C249-$B$182-$B$181</f>
        <v>1733673.1148800114</v>
      </c>
      <c r="D334" s="12">
        <f t="shared" si="61"/>
        <v>1473672.9087897753</v>
      </c>
      <c r="E334" s="12">
        <f t="shared" si="61"/>
        <v>1122096.0586646581</v>
      </c>
      <c r="F334" s="12">
        <f t="shared" si="61"/>
        <v>2131643.1934375511</v>
      </c>
      <c r="G334" s="12">
        <f t="shared" si="61"/>
        <v>64.184221251867712</v>
      </c>
      <c r="H334" s="12">
        <f t="shared" si="61"/>
        <v>-125052.13676970545</v>
      </c>
      <c r="I334" s="12">
        <f t="shared" si="61"/>
        <v>857711.12699861173</v>
      </c>
      <c r="J334" s="12">
        <f t="shared" si="61"/>
        <v>753506.79199060146</v>
      </c>
      <c r="K334" s="12">
        <f t="shared" si="61"/>
        <v>5718748.8034566389</v>
      </c>
      <c r="L334" s="12">
        <f t="shared" si="61"/>
        <v>5067367.2644083584</v>
      </c>
      <c r="M334" s="12">
        <f t="shared" si="61"/>
        <v>4941818.8672949141</v>
      </c>
      <c r="N334" s="12">
        <f t="shared" si="61"/>
        <v>4373930.4319668291</v>
      </c>
      <c r="O334" s="12">
        <f t="shared" si="61"/>
        <v>2770880.2229370112</v>
      </c>
      <c r="P334" s="12">
        <f t="shared" si="61"/>
        <v>2581060.9440006102</v>
      </c>
    </row>
    <row r="335" spans="1:16">
      <c r="A335" s="10" t="s">
        <v>238</v>
      </c>
      <c r="B335" s="12">
        <f t="shared" ref="B335:P335" si="62">B327+B225+$B$220-$B$183</f>
        <v>532501.45343950763</v>
      </c>
      <c r="C335" s="12">
        <f t="shared" si="62"/>
        <v>532499.19267776981</v>
      </c>
      <c r="D335" s="12">
        <f t="shared" si="62"/>
        <v>421058.25542951748</v>
      </c>
      <c r="E335" s="12">
        <f t="shared" si="62"/>
        <v>454601.13249838725</v>
      </c>
      <c r="F335" s="12">
        <f t="shared" si="62"/>
        <v>351415.68218396045</v>
      </c>
      <c r="G335" s="12">
        <f t="shared" si="62"/>
        <v>714473.29475210886</v>
      </c>
      <c r="H335" s="12">
        <f t="shared" si="62"/>
        <v>714473.29475210886</v>
      </c>
      <c r="I335" s="12">
        <f t="shared" si="62"/>
        <v>672244.2313286541</v>
      </c>
      <c r="J335" s="12">
        <f t="shared" si="62"/>
        <v>671568.03310821578</v>
      </c>
      <c r="K335" s="12">
        <f t="shared" si="62"/>
        <v>835282.54971279949</v>
      </c>
      <c r="L335" s="12">
        <f t="shared" si="62"/>
        <v>1003656.3485771371</v>
      </c>
      <c r="M335" s="12">
        <f t="shared" si="62"/>
        <v>1009713.1622918118</v>
      </c>
      <c r="N335" s="12">
        <f t="shared" si="62"/>
        <v>1221895.8297260441</v>
      </c>
      <c r="O335" s="12">
        <f t="shared" si="62"/>
        <v>1676131.3916123398</v>
      </c>
      <c r="P335" s="12">
        <f t="shared" si="62"/>
        <v>1681551.4337053895</v>
      </c>
    </row>
    <row r="336" spans="1:16">
      <c r="A336" s="10" t="s">
        <v>239</v>
      </c>
      <c r="B336" s="12">
        <f>B334+B335</f>
        <v>2386785.9806052493</v>
      </c>
      <c r="C336" s="12">
        <f t="shared" ref="C336:P336" si="63">C334+C335</f>
        <v>2266172.3075577812</v>
      </c>
      <c r="D336" s="12">
        <f t="shared" si="63"/>
        <v>1894731.1642192928</v>
      </c>
      <c r="E336" s="12">
        <f t="shared" si="63"/>
        <v>1576697.1911630454</v>
      </c>
      <c r="F336" s="12">
        <f t="shared" si="63"/>
        <v>2483058.8756215116</v>
      </c>
      <c r="G336" s="12">
        <f t="shared" si="63"/>
        <v>714537.47897336073</v>
      </c>
      <c r="H336" s="12">
        <f t="shared" si="63"/>
        <v>589421.15798240341</v>
      </c>
      <c r="I336" s="12">
        <f t="shared" si="63"/>
        <v>1529955.3583272658</v>
      </c>
      <c r="J336" s="12">
        <f t="shared" si="63"/>
        <v>1425074.8250988172</v>
      </c>
      <c r="K336" s="12">
        <f t="shared" si="63"/>
        <v>6554031.3531694384</v>
      </c>
      <c r="L336" s="12">
        <f t="shared" si="63"/>
        <v>6071023.6129854955</v>
      </c>
      <c r="M336" s="12">
        <f t="shared" si="63"/>
        <v>5951532.0295867259</v>
      </c>
      <c r="N336" s="12">
        <f t="shared" si="63"/>
        <v>5595826.2616928732</v>
      </c>
      <c r="O336" s="12">
        <f t="shared" si="63"/>
        <v>4447011.6145493509</v>
      </c>
      <c r="P336" s="12">
        <f t="shared" si="63"/>
        <v>4262612.3777059997</v>
      </c>
    </row>
    <row r="337" spans="1:16">
      <c r="A337" s="10" t="s">
        <v>159</v>
      </c>
      <c r="B337" s="13">
        <f>-(B336-$B$219-$B$220)/($B$219+$B$220)</f>
        <v>1.784941761358831</v>
      </c>
      <c r="C337" s="13">
        <f t="shared" ref="C337:P337" si="64">-(C336-$B$219-$B$220-C223-C225)/($B$219+$B$220+C223+C225)</f>
        <v>1.7169803889495141</v>
      </c>
      <c r="D337" s="13">
        <f t="shared" si="64"/>
        <v>1.4620188960317082</v>
      </c>
      <c r="E337" s="13">
        <f t="shared" si="64"/>
        <v>1.3425630302287834</v>
      </c>
      <c r="F337" s="13">
        <f t="shared" si="64"/>
        <v>1.4470665610899724</v>
      </c>
      <c r="G337" s="13">
        <f t="shared" si="64"/>
        <v>1.1273950449201506</v>
      </c>
      <c r="H337" s="13">
        <f t="shared" si="64"/>
        <v>1.1028867835378267</v>
      </c>
      <c r="I337" s="13">
        <f t="shared" si="64"/>
        <v>1.2331786910769105</v>
      </c>
      <c r="J337" s="13">
        <f t="shared" si="64"/>
        <v>1.213293015716721</v>
      </c>
      <c r="K337" s="13">
        <f t="shared" si="64"/>
        <v>1.8888365538875602</v>
      </c>
      <c r="L337" s="13">
        <f t="shared" si="64"/>
        <v>1.7706781042680417</v>
      </c>
      <c r="M337" s="13">
        <f t="shared" si="64"/>
        <v>1.7474500459975364</v>
      </c>
      <c r="N337" s="13">
        <f t="shared" si="64"/>
        <v>1.6675952843232535</v>
      </c>
      <c r="O337" s="13">
        <f t="shared" si="64"/>
        <v>1.4735381127539806</v>
      </c>
      <c r="P337" s="13">
        <f t="shared" si="64"/>
        <v>1.4481793788591646</v>
      </c>
    </row>
    <row r="339" spans="1:16">
      <c r="A339" t="s">
        <v>202</v>
      </c>
    </row>
    <row r="340" spans="1:16">
      <c r="A340" s="10" t="s">
        <v>203</v>
      </c>
      <c r="B340" s="12"/>
      <c r="C340" s="12">
        <f t="shared" ref="C340:P340" si="65">C334-$B$334</f>
        <v>-120611.41228573024</v>
      </c>
      <c r="D340" s="12">
        <f t="shared" si="65"/>
        <v>-380611.61837596633</v>
      </c>
      <c r="E340" s="12">
        <f t="shared" si="65"/>
        <v>-732188.46850108355</v>
      </c>
      <c r="F340" s="12">
        <f t="shared" si="65"/>
        <v>277358.66627180949</v>
      </c>
      <c r="G340" s="12">
        <f t="shared" si="65"/>
        <v>-1854220.3429444898</v>
      </c>
      <c r="H340" s="12">
        <f t="shared" si="65"/>
        <v>-1979336.6639354471</v>
      </c>
      <c r="I340" s="12">
        <f t="shared" si="65"/>
        <v>-996573.40016712993</v>
      </c>
      <c r="J340" s="12">
        <f t="shared" si="65"/>
        <v>-1100777.7351751402</v>
      </c>
      <c r="K340" s="12">
        <f t="shared" si="65"/>
        <v>3864464.2762908973</v>
      </c>
      <c r="L340" s="12">
        <f t="shared" si="65"/>
        <v>3213082.7372426167</v>
      </c>
      <c r="M340" s="12">
        <f t="shared" si="65"/>
        <v>3087534.3401291724</v>
      </c>
      <c r="N340" s="12">
        <f t="shared" si="65"/>
        <v>2519645.9048010875</v>
      </c>
      <c r="O340" s="12">
        <f t="shared" si="65"/>
        <v>916595.6957712695</v>
      </c>
      <c r="P340" s="12">
        <f t="shared" si="65"/>
        <v>726776.41683486849</v>
      </c>
    </row>
    <row r="341" spans="1:16">
      <c r="A341" s="10" t="s">
        <v>204</v>
      </c>
      <c r="B341" s="12"/>
      <c r="C341" s="12">
        <f>C335-$B$335</f>
        <v>-2.2607617378234863</v>
      </c>
      <c r="D341" s="12">
        <f t="shared" ref="D341:P341" si="66">D335-$B$335</f>
        <v>-111443.19800999016</v>
      </c>
      <c r="E341" s="12">
        <f t="shared" si="66"/>
        <v>-77900.320941120386</v>
      </c>
      <c r="F341" s="12">
        <f t="shared" si="66"/>
        <v>-181085.77125554718</v>
      </c>
      <c r="G341" s="12">
        <f t="shared" si="66"/>
        <v>181971.84131260123</v>
      </c>
      <c r="H341" s="12">
        <f t="shared" si="66"/>
        <v>181971.84131260123</v>
      </c>
      <c r="I341" s="12">
        <f t="shared" si="66"/>
        <v>139742.77788914647</v>
      </c>
      <c r="J341" s="12">
        <f t="shared" si="66"/>
        <v>139066.57966870815</v>
      </c>
      <c r="K341" s="12">
        <f t="shared" si="66"/>
        <v>302781.09627329186</v>
      </c>
      <c r="L341" s="12">
        <f t="shared" si="66"/>
        <v>471154.89513762947</v>
      </c>
      <c r="M341" s="12">
        <f t="shared" si="66"/>
        <v>477211.70885230415</v>
      </c>
      <c r="N341" s="12">
        <f t="shared" si="66"/>
        <v>689394.37628653646</v>
      </c>
      <c r="O341" s="12">
        <f t="shared" si="66"/>
        <v>1143629.9381728321</v>
      </c>
      <c r="P341" s="12">
        <f t="shared" si="66"/>
        <v>1149049.9802658819</v>
      </c>
    </row>
    <row r="342" spans="1:16">
      <c r="A342" s="10" t="s">
        <v>205</v>
      </c>
      <c r="B342" s="12"/>
      <c r="C342" s="12">
        <f>C341+C340</f>
        <v>-120613.67304746807</v>
      </c>
      <c r="D342" s="12">
        <f t="shared" ref="D342:P342" si="67">D341+D340</f>
        <v>-492054.81638595648</v>
      </c>
      <c r="E342" s="12">
        <f t="shared" si="67"/>
        <v>-810088.78944220394</v>
      </c>
      <c r="F342" s="12">
        <f t="shared" si="67"/>
        <v>96272.895016262308</v>
      </c>
      <c r="G342" s="12">
        <f t="shared" si="67"/>
        <v>-1672248.5016318886</v>
      </c>
      <c r="H342" s="12">
        <f t="shared" si="67"/>
        <v>-1797364.8226228459</v>
      </c>
      <c r="I342" s="12">
        <f t="shared" si="67"/>
        <v>-856830.62227798346</v>
      </c>
      <c r="J342" s="12">
        <f t="shared" si="67"/>
        <v>-961711.15550643206</v>
      </c>
      <c r="K342" s="12">
        <f t="shared" si="67"/>
        <v>4167245.3725641891</v>
      </c>
      <c r="L342" s="12">
        <f t="shared" si="67"/>
        <v>3684237.6323802462</v>
      </c>
      <c r="M342" s="12">
        <f t="shared" si="67"/>
        <v>3564746.0489814766</v>
      </c>
      <c r="N342" s="12">
        <f t="shared" si="67"/>
        <v>3209040.2810876239</v>
      </c>
      <c r="O342" s="12">
        <f t="shared" si="67"/>
        <v>2060225.6339441016</v>
      </c>
      <c r="P342" s="12">
        <f t="shared" si="67"/>
        <v>1875826.3971007504</v>
      </c>
    </row>
    <row r="343" spans="1:16">
      <c r="A343" s="10" t="s">
        <v>206</v>
      </c>
      <c r="B343" s="13"/>
      <c r="C343" s="13">
        <f t="shared" ref="C343:P343" si="68">-(C342-C225-C223)/(C225+C223)</f>
        <v>-5.1139420622338854E-3</v>
      </c>
      <c r="D343" s="13">
        <f t="shared" si="68"/>
        <v>0.5359132290013765</v>
      </c>
      <c r="E343" s="13">
        <f t="shared" si="68"/>
        <v>0.48135435122818282</v>
      </c>
      <c r="F343" s="13">
        <f t="shared" si="68"/>
        <v>1.0383038915883036</v>
      </c>
      <c r="G343" s="13">
        <f t="shared" si="68"/>
        <v>0.3488421249498071</v>
      </c>
      <c r="H343" s="13">
        <f t="shared" si="68"/>
        <v>0.33136617219401043</v>
      </c>
      <c r="I343" s="13">
        <f t="shared" si="68"/>
        <v>0.75662250307553958</v>
      </c>
      <c r="J343" s="13">
        <f t="shared" si="68"/>
        <v>0.73583599555350632</v>
      </c>
      <c r="K343" s="13">
        <f t="shared" si="68"/>
        <v>1.9617455167427273</v>
      </c>
      <c r="L343" s="13">
        <f t="shared" si="68"/>
        <v>1.761711054985343</v>
      </c>
      <c r="M343" s="13">
        <f t="shared" si="68"/>
        <v>1.7242871148259005</v>
      </c>
      <c r="N343" s="13">
        <f t="shared" si="68"/>
        <v>1.6007923798015538</v>
      </c>
      <c r="O343" s="13">
        <f t="shared" si="68"/>
        <v>1.3244288977138285</v>
      </c>
      <c r="P343" s="13">
        <f t="shared" si="68"/>
        <v>1.2899163008983443</v>
      </c>
    </row>
    <row r="345" spans="1:16">
      <c r="B345" t="s">
        <v>8</v>
      </c>
    </row>
    <row r="346" spans="1:16">
      <c r="B346" t="s">
        <v>293</v>
      </c>
    </row>
  </sheetData>
  <conditionalFormatting sqref="B334:P334">
    <cfRule type="colorScale" priority="289">
      <colorScale>
        <cfvo type="min"/>
        <cfvo type="max"/>
        <color rgb="FFFCFCFF"/>
        <color rgb="FF63BE7B"/>
      </colorScale>
    </cfRule>
  </conditionalFormatting>
  <conditionalFormatting sqref="C336:P336">
    <cfRule type="colorScale" priority="291">
      <colorScale>
        <cfvo type="min"/>
        <cfvo type="max"/>
        <color rgb="FFFCFCFF"/>
        <color rgb="FF63BE7B"/>
      </colorScale>
    </cfRule>
  </conditionalFormatting>
  <conditionalFormatting sqref="C340:P340">
    <cfRule type="colorScale" priority="293">
      <colorScale>
        <cfvo type="min"/>
        <cfvo type="max"/>
        <color rgb="FFFCFCFF"/>
        <color rgb="FF63BE7B"/>
      </colorScale>
    </cfRule>
  </conditionalFormatting>
  <conditionalFormatting sqref="C341:P341">
    <cfRule type="colorScale" priority="295">
      <colorScale>
        <cfvo type="min"/>
        <cfvo type="max"/>
        <color rgb="FFFCFCFF"/>
        <color rgb="FF63BE7B"/>
      </colorScale>
    </cfRule>
  </conditionalFormatting>
  <conditionalFormatting sqref="C342:P342">
    <cfRule type="colorScale" priority="297">
      <colorScale>
        <cfvo type="min"/>
        <cfvo type="max"/>
        <color rgb="FFFCFCFF"/>
        <color rgb="FF63BE7B"/>
      </colorScale>
    </cfRule>
  </conditionalFormatting>
  <conditionalFormatting sqref="B335:P335">
    <cfRule type="colorScale" priority="299">
      <colorScale>
        <cfvo type="min"/>
        <cfvo type="max"/>
        <color rgb="FFFCFCFF"/>
        <color rgb="FF63BE7B"/>
      </colorScale>
    </cfRule>
  </conditionalFormatting>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U346"/>
  <sheetViews>
    <sheetView workbookViewId="0">
      <selection activeCell="T19" sqref="T19"/>
    </sheetView>
  </sheetViews>
  <sheetFormatPr defaultRowHeight="15"/>
  <cols>
    <col min="1" max="1" width="39.7109375" bestFit="1" customWidth="1"/>
    <col min="2" max="21" width="14" customWidth="1"/>
  </cols>
  <sheetData>
    <row r="2" spans="1:21">
      <c r="A2" s="14" t="s">
        <v>296</v>
      </c>
    </row>
    <row r="3" spans="1:21">
      <c r="A3" s="10" t="s">
        <v>7</v>
      </c>
      <c r="B3" t="str">
        <f t="shared" ref="B3:U3" si="0">B43</f>
        <v>No Generator</v>
      </c>
      <c r="C3" t="str">
        <f t="shared" si="0"/>
        <v>No Generator</v>
      </c>
      <c r="D3" t="str">
        <f t="shared" si="0"/>
        <v>No Generator</v>
      </c>
      <c r="E3" t="str">
        <f t="shared" si="0"/>
        <v>SG 100</v>
      </c>
      <c r="F3" t="str">
        <f t="shared" si="0"/>
        <v>SG 100</v>
      </c>
      <c r="G3" t="str">
        <f t="shared" si="0"/>
        <v>No Generator</v>
      </c>
      <c r="H3" t="str">
        <f t="shared" si="0"/>
        <v>SG 200</v>
      </c>
      <c r="I3" t="str">
        <f t="shared" si="0"/>
        <v>SG 200</v>
      </c>
      <c r="J3" t="str">
        <f t="shared" si="0"/>
        <v>SG 300</v>
      </c>
      <c r="K3" t="str">
        <f t="shared" si="0"/>
        <v>SG 300</v>
      </c>
      <c r="L3" t="str">
        <f t="shared" si="0"/>
        <v>SG 300</v>
      </c>
      <c r="M3" t="str">
        <f t="shared" si="0"/>
        <v>SG 500</v>
      </c>
      <c r="N3" t="str">
        <f t="shared" si="0"/>
        <v>SG 500</v>
      </c>
      <c r="O3" t="str">
        <f t="shared" si="0"/>
        <v>SG 500</v>
      </c>
      <c r="P3" t="str">
        <f t="shared" si="0"/>
        <v>SG 500</v>
      </c>
      <c r="Q3" t="str">
        <f t="shared" si="0"/>
        <v>SG 200</v>
      </c>
      <c r="R3" t="str">
        <f t="shared" si="0"/>
        <v>SG 200</v>
      </c>
      <c r="S3" t="str">
        <f t="shared" si="0"/>
        <v>SG 300</v>
      </c>
      <c r="T3" t="str">
        <f t="shared" si="0"/>
        <v>SG 300</v>
      </c>
      <c r="U3" t="str">
        <f t="shared" si="0"/>
        <v>SG 500</v>
      </c>
    </row>
    <row r="4" spans="1:21">
      <c r="A4" s="10" t="s">
        <v>9</v>
      </c>
      <c r="B4" t="str">
        <f t="shared" ref="B4:U4" si="1">B44</f>
        <v>No Generator</v>
      </c>
      <c r="C4" t="str">
        <f t="shared" si="1"/>
        <v>No Generator</v>
      </c>
      <c r="D4" t="str">
        <f t="shared" si="1"/>
        <v>No Generator</v>
      </c>
      <c r="E4" t="str">
        <f t="shared" si="1"/>
        <v>No Generator</v>
      </c>
      <c r="F4" t="str">
        <f t="shared" si="1"/>
        <v>No Generator</v>
      </c>
      <c r="G4" t="str">
        <f t="shared" si="1"/>
        <v>No Generator</v>
      </c>
      <c r="H4" t="str">
        <f t="shared" si="1"/>
        <v>No Generator</v>
      </c>
      <c r="I4" t="str">
        <f t="shared" si="1"/>
        <v>No Generator</v>
      </c>
      <c r="J4" t="str">
        <f t="shared" si="1"/>
        <v>No Generator</v>
      </c>
      <c r="K4" t="str">
        <f t="shared" si="1"/>
        <v>No Generator</v>
      </c>
      <c r="L4" t="str">
        <f t="shared" si="1"/>
        <v>No Generator</v>
      </c>
      <c r="M4" t="str">
        <f t="shared" si="1"/>
        <v>No Generator</v>
      </c>
      <c r="N4" t="str">
        <f t="shared" si="1"/>
        <v>No Generator</v>
      </c>
      <c r="O4" t="str">
        <f t="shared" si="1"/>
        <v>No Generator</v>
      </c>
      <c r="P4" t="str">
        <f t="shared" si="1"/>
        <v>No Generator</v>
      </c>
      <c r="Q4" t="str">
        <f t="shared" si="1"/>
        <v>No Generator</v>
      </c>
      <c r="R4" t="str">
        <f t="shared" si="1"/>
        <v>No Generator</v>
      </c>
      <c r="S4" t="str">
        <f t="shared" si="1"/>
        <v>No Generator</v>
      </c>
      <c r="T4" t="str">
        <f t="shared" si="1"/>
        <v>No Generator</v>
      </c>
      <c r="U4" t="str">
        <f t="shared" si="1"/>
        <v>No Generator</v>
      </c>
    </row>
    <row r="5" spans="1:21">
      <c r="A5" s="10" t="s">
        <v>10</v>
      </c>
      <c r="B5" t="str">
        <f t="shared" ref="B5:U5" si="2">B45</f>
        <v>No Generator</v>
      </c>
      <c r="C5" t="str">
        <f t="shared" si="2"/>
        <v>No Generator</v>
      </c>
      <c r="D5" t="str">
        <f t="shared" si="2"/>
        <v>No Generator</v>
      </c>
      <c r="E5" t="str">
        <f t="shared" si="2"/>
        <v>No Generator</v>
      </c>
      <c r="F5" t="str">
        <f t="shared" si="2"/>
        <v>No Generator</v>
      </c>
      <c r="G5" t="str">
        <f t="shared" si="2"/>
        <v>WG 100</v>
      </c>
      <c r="H5" t="str">
        <f t="shared" si="2"/>
        <v>No Generator</v>
      </c>
      <c r="I5" t="str">
        <f t="shared" si="2"/>
        <v>No Generator</v>
      </c>
      <c r="J5" t="str">
        <f t="shared" si="2"/>
        <v>No Generator</v>
      </c>
      <c r="K5" t="str">
        <f t="shared" si="2"/>
        <v>No Generator</v>
      </c>
      <c r="L5" t="str">
        <f t="shared" si="2"/>
        <v>WG 100</v>
      </c>
      <c r="M5" t="str">
        <f t="shared" si="2"/>
        <v>No Generator</v>
      </c>
      <c r="N5" t="str">
        <f t="shared" si="2"/>
        <v>No Generator</v>
      </c>
      <c r="O5" t="str">
        <f t="shared" si="2"/>
        <v>WG 100</v>
      </c>
      <c r="P5" t="str">
        <f t="shared" si="2"/>
        <v>WG 200</v>
      </c>
      <c r="Q5" t="str">
        <f t="shared" si="2"/>
        <v>WG 500</v>
      </c>
      <c r="R5" t="str">
        <f t="shared" si="2"/>
        <v>WG 500</v>
      </c>
      <c r="S5" t="str">
        <f t="shared" si="2"/>
        <v>WG 500</v>
      </c>
      <c r="T5" t="str">
        <f t="shared" si="2"/>
        <v>WG 500</v>
      </c>
      <c r="U5" t="str">
        <f t="shared" si="2"/>
        <v>WG 500</v>
      </c>
    </row>
    <row r="6" spans="1:21">
      <c r="A6" s="10" t="s">
        <v>11</v>
      </c>
      <c r="B6" t="str">
        <f t="shared" ref="B6:U6" si="3">B46</f>
        <v>No Battery</v>
      </c>
      <c r="C6" t="str">
        <f t="shared" si="3"/>
        <v>Bat 50/50</v>
      </c>
      <c r="D6" t="str">
        <f t="shared" si="3"/>
        <v>Bat 100/100</v>
      </c>
      <c r="E6" t="str">
        <f t="shared" si="3"/>
        <v>No Battery</v>
      </c>
      <c r="F6" t="str">
        <f t="shared" si="3"/>
        <v>Bat 100/100</v>
      </c>
      <c r="G6" t="str">
        <f t="shared" si="3"/>
        <v>No Battery</v>
      </c>
      <c r="H6" t="str">
        <f t="shared" si="3"/>
        <v>No Battery</v>
      </c>
      <c r="I6" t="str">
        <f t="shared" si="3"/>
        <v>Bat 100/100</v>
      </c>
      <c r="J6" t="str">
        <f t="shared" si="3"/>
        <v>No Battery</v>
      </c>
      <c r="K6" t="str">
        <f t="shared" si="3"/>
        <v>Bat 100/100</v>
      </c>
      <c r="L6" t="str">
        <f t="shared" si="3"/>
        <v>No Battery</v>
      </c>
      <c r="M6" t="str">
        <f t="shared" si="3"/>
        <v>No Battery</v>
      </c>
      <c r="N6" t="str">
        <f t="shared" si="3"/>
        <v>Bat 100/100</v>
      </c>
      <c r="O6" t="str">
        <f t="shared" si="3"/>
        <v>No Battery</v>
      </c>
      <c r="P6" t="str">
        <f t="shared" si="3"/>
        <v>Bat 50/50</v>
      </c>
      <c r="Q6" t="str">
        <f t="shared" si="3"/>
        <v>No Battery</v>
      </c>
      <c r="R6" t="str">
        <f t="shared" si="3"/>
        <v>Bat 50/50</v>
      </c>
      <c r="S6" t="str">
        <f t="shared" si="3"/>
        <v>No Battery</v>
      </c>
      <c r="T6" t="str">
        <f t="shared" si="3"/>
        <v>Bat 50/50</v>
      </c>
      <c r="U6" t="str">
        <f t="shared" si="3"/>
        <v>No Battery</v>
      </c>
    </row>
    <row r="7" spans="1:21">
      <c r="A7" s="10" t="s">
        <v>291</v>
      </c>
      <c r="B7" t="str">
        <f t="shared" ref="B7:U7" si="4">IF(B53&lt;0.3,$B$346,$B$345)</f>
        <v>No Generator</v>
      </c>
      <c r="C7" t="str">
        <f t="shared" si="4"/>
        <v>No Generator</v>
      </c>
      <c r="D7" t="str">
        <f t="shared" si="4"/>
        <v>No Generator</v>
      </c>
      <c r="E7" t="str">
        <f t="shared" si="4"/>
        <v>No Generator</v>
      </c>
      <c r="F7" t="str">
        <f t="shared" si="4"/>
        <v>No Generator</v>
      </c>
      <c r="G7" t="str">
        <f t="shared" si="4"/>
        <v>No Generator</v>
      </c>
      <c r="H7" t="str">
        <f t="shared" si="4"/>
        <v>No Generator</v>
      </c>
      <c r="I7" t="str">
        <f t="shared" si="4"/>
        <v>No Generator</v>
      </c>
      <c r="J7" t="str">
        <f t="shared" si="4"/>
        <v>No Generator</v>
      </c>
      <c r="K7" t="str">
        <f t="shared" si="4"/>
        <v>No Generator</v>
      </c>
      <c r="L7" t="str">
        <f t="shared" si="4"/>
        <v>No Generator</v>
      </c>
      <c r="M7" t="str">
        <f t="shared" si="4"/>
        <v>No Generator</v>
      </c>
      <c r="N7" t="str">
        <f t="shared" si="4"/>
        <v>No Generator</v>
      </c>
      <c r="O7" t="str">
        <f t="shared" si="4"/>
        <v>No Generator</v>
      </c>
      <c r="P7" t="str">
        <f t="shared" si="4"/>
        <v>100kW  Diesel</v>
      </c>
      <c r="Q7" t="str">
        <f t="shared" si="4"/>
        <v>100kW  Diesel</v>
      </c>
      <c r="R7" t="str">
        <f t="shared" si="4"/>
        <v>100kW  Diesel</v>
      </c>
      <c r="S7" t="str">
        <f t="shared" si="4"/>
        <v>100kW  Diesel</v>
      </c>
      <c r="T7" t="str">
        <f t="shared" si="4"/>
        <v>100kW  Diesel</v>
      </c>
      <c r="U7" t="str">
        <f t="shared" si="4"/>
        <v>100kW  Diesel</v>
      </c>
    </row>
    <row r="8" spans="1:21">
      <c r="A8" s="10" t="s">
        <v>288</v>
      </c>
      <c r="B8" s="48">
        <f>$C$220</f>
        <v>-3040717.1960315853</v>
      </c>
      <c r="C8" s="48">
        <f t="shared" ref="C8:U8" si="5">$C$220</f>
        <v>-3040717.1960315853</v>
      </c>
      <c r="D8" s="48">
        <f t="shared" si="5"/>
        <v>-3040717.1960315853</v>
      </c>
      <c r="E8" s="48">
        <f t="shared" si="5"/>
        <v>-3040717.1960315853</v>
      </c>
      <c r="F8" s="48">
        <f t="shared" si="5"/>
        <v>-3040717.1960315853</v>
      </c>
      <c r="G8" s="48">
        <f t="shared" si="5"/>
        <v>-3040717.1960315853</v>
      </c>
      <c r="H8" s="48">
        <f t="shared" si="5"/>
        <v>-3040717.1960315853</v>
      </c>
      <c r="I8" s="48">
        <f t="shared" si="5"/>
        <v>-3040717.1960315853</v>
      </c>
      <c r="J8" s="48">
        <f t="shared" si="5"/>
        <v>-3040717.1960315853</v>
      </c>
      <c r="K8" s="48">
        <f t="shared" si="5"/>
        <v>-3040717.1960315853</v>
      </c>
      <c r="L8" s="48">
        <f t="shared" si="5"/>
        <v>-3040717.1960315853</v>
      </c>
      <c r="M8" s="48">
        <f t="shared" si="5"/>
        <v>-3040717.1960315853</v>
      </c>
      <c r="N8" s="48">
        <f t="shared" si="5"/>
        <v>-3040717.1960315853</v>
      </c>
      <c r="O8" s="48">
        <f t="shared" si="5"/>
        <v>-3040717.1960315853</v>
      </c>
      <c r="P8" s="48">
        <f t="shared" si="5"/>
        <v>-3040717.1960315853</v>
      </c>
      <c r="Q8" s="48">
        <f t="shared" si="5"/>
        <v>-3040717.1960315853</v>
      </c>
      <c r="R8" s="48">
        <f t="shared" si="5"/>
        <v>-3040717.1960315853</v>
      </c>
      <c r="S8" s="48">
        <f t="shared" si="5"/>
        <v>-3040717.1960315853</v>
      </c>
      <c r="T8" s="48">
        <f t="shared" si="5"/>
        <v>-3040717.1960315853</v>
      </c>
      <c r="U8" s="48">
        <f t="shared" si="5"/>
        <v>-3040717.1960315853</v>
      </c>
    </row>
    <row r="9" spans="1:21">
      <c r="A9" s="10" t="s">
        <v>287</v>
      </c>
      <c r="B9" s="48">
        <f t="shared" ref="B9:U9" si="6">B223</f>
        <v>0</v>
      </c>
      <c r="C9" s="48">
        <f t="shared" si="6"/>
        <v>-85000</v>
      </c>
      <c r="D9" s="48">
        <f t="shared" si="6"/>
        <v>-120000</v>
      </c>
      <c r="E9" s="48">
        <f t="shared" si="6"/>
        <v>-550000</v>
      </c>
      <c r="F9" s="48">
        <f t="shared" si="6"/>
        <v>-670000</v>
      </c>
      <c r="G9" s="48">
        <f t="shared" si="6"/>
        <v>-950000</v>
      </c>
      <c r="H9" s="48">
        <f t="shared" si="6"/>
        <v>-1050000</v>
      </c>
      <c r="I9" s="48">
        <f t="shared" si="6"/>
        <v>-1170000</v>
      </c>
      <c r="J9" s="48">
        <f t="shared" si="6"/>
        <v>-1550000</v>
      </c>
      <c r="K9" s="48">
        <f t="shared" si="6"/>
        <v>-1670000</v>
      </c>
      <c r="L9" s="48">
        <f t="shared" si="6"/>
        <v>-2500000</v>
      </c>
      <c r="M9" s="48">
        <f t="shared" si="6"/>
        <v>-2550000</v>
      </c>
      <c r="N9" s="48">
        <f t="shared" si="6"/>
        <v>-2670000</v>
      </c>
      <c r="O9" s="48">
        <f t="shared" si="6"/>
        <v>-3500000</v>
      </c>
      <c r="P9" s="48">
        <f t="shared" si="6"/>
        <v>-4285000</v>
      </c>
      <c r="Q9" s="48">
        <f t="shared" si="6"/>
        <v>-4800000</v>
      </c>
      <c r="R9" s="48">
        <f t="shared" si="6"/>
        <v>-4885000</v>
      </c>
      <c r="S9" s="48">
        <f t="shared" si="6"/>
        <v>-5300000</v>
      </c>
      <c r="T9" s="48">
        <f t="shared" si="6"/>
        <v>-5385000</v>
      </c>
      <c r="U9" s="48">
        <f t="shared" si="6"/>
        <v>-6300000</v>
      </c>
    </row>
    <row r="10" spans="1:21">
      <c r="A10" s="10" t="s">
        <v>292</v>
      </c>
      <c r="B10" s="48">
        <f t="shared" ref="B10:U10" si="7">B225</f>
        <v>0</v>
      </c>
      <c r="C10" s="48">
        <f t="shared" si="7"/>
        <v>0</v>
      </c>
      <c r="D10" s="48">
        <f t="shared" si="7"/>
        <v>0</v>
      </c>
      <c r="E10" s="48">
        <f t="shared" si="7"/>
        <v>0</v>
      </c>
      <c r="F10" s="48">
        <f t="shared" si="7"/>
        <v>0</v>
      </c>
      <c r="G10" s="48">
        <f t="shared" si="7"/>
        <v>0</v>
      </c>
      <c r="H10" s="48">
        <f t="shared" si="7"/>
        <v>0</v>
      </c>
      <c r="I10" s="48">
        <f t="shared" si="7"/>
        <v>0</v>
      </c>
      <c r="J10" s="48">
        <f t="shared" si="7"/>
        <v>0</v>
      </c>
      <c r="K10" s="48">
        <f t="shared" si="7"/>
        <v>0</v>
      </c>
      <c r="L10" s="48">
        <f t="shared" si="7"/>
        <v>0</v>
      </c>
      <c r="M10" s="48">
        <f t="shared" si="7"/>
        <v>0</v>
      </c>
      <c r="N10" s="48">
        <f t="shared" si="7"/>
        <v>0</v>
      </c>
      <c r="O10" s="48">
        <f t="shared" si="7"/>
        <v>0</v>
      </c>
      <c r="P10" s="48">
        <f t="shared" si="7"/>
        <v>0</v>
      </c>
      <c r="Q10" s="48">
        <f t="shared" si="7"/>
        <v>0</v>
      </c>
      <c r="R10" s="48">
        <f t="shared" si="7"/>
        <v>0</v>
      </c>
      <c r="S10" s="48">
        <f t="shared" si="7"/>
        <v>0</v>
      </c>
      <c r="T10" s="48">
        <f t="shared" si="7"/>
        <v>0</v>
      </c>
      <c r="U10" s="48">
        <f t="shared" si="7"/>
        <v>0</v>
      </c>
    </row>
    <row r="11" spans="1:21">
      <c r="A11" s="10" t="s">
        <v>294</v>
      </c>
      <c r="B11" s="48">
        <f t="shared" ref="B11:U11" si="8">B234</f>
        <v>0</v>
      </c>
      <c r="C11" s="48">
        <f t="shared" si="8"/>
        <v>0</v>
      </c>
      <c r="D11" s="48">
        <f t="shared" si="8"/>
        <v>0</v>
      </c>
      <c r="E11" s="48">
        <f t="shared" si="8"/>
        <v>0</v>
      </c>
      <c r="F11" s="48">
        <f t="shared" si="8"/>
        <v>0</v>
      </c>
      <c r="G11" s="48">
        <f t="shared" si="8"/>
        <v>0</v>
      </c>
      <c r="H11" s="48">
        <f t="shared" si="8"/>
        <v>0</v>
      </c>
      <c r="I11" s="48">
        <f t="shared" si="8"/>
        <v>0</v>
      </c>
      <c r="J11" s="48">
        <f t="shared" si="8"/>
        <v>0</v>
      </c>
      <c r="K11" s="48">
        <f t="shared" si="8"/>
        <v>0</v>
      </c>
      <c r="L11" s="48">
        <f t="shared" si="8"/>
        <v>0</v>
      </c>
      <c r="M11" s="48">
        <f t="shared" si="8"/>
        <v>0</v>
      </c>
      <c r="N11" s="48">
        <f t="shared" si="8"/>
        <v>0</v>
      </c>
      <c r="O11" s="48">
        <f t="shared" si="8"/>
        <v>0</v>
      </c>
      <c r="P11" s="48">
        <f t="shared" si="8"/>
        <v>-41158.26</v>
      </c>
      <c r="Q11" s="48">
        <f t="shared" si="8"/>
        <v>-41158.26</v>
      </c>
      <c r="R11" s="48">
        <f t="shared" si="8"/>
        <v>-41158.26</v>
      </c>
      <c r="S11" s="48">
        <f t="shared" si="8"/>
        <v>-41158.26</v>
      </c>
      <c r="T11" s="48">
        <f t="shared" si="8"/>
        <v>-41158.26</v>
      </c>
      <c r="U11" s="48">
        <f t="shared" si="8"/>
        <v>-41158.26</v>
      </c>
    </row>
    <row r="12" spans="1:21">
      <c r="A12" s="10" t="s">
        <v>230</v>
      </c>
      <c r="B12" s="9">
        <f t="shared" ref="B12:U12" si="9">B331</f>
        <v>0.25648697654896979</v>
      </c>
      <c r="C12" s="9">
        <f t="shared" si="9"/>
        <v>0.25648634705614692</v>
      </c>
      <c r="D12" s="9">
        <f t="shared" si="9"/>
        <v>0.25648694917971659</v>
      </c>
      <c r="E12" s="9">
        <f t="shared" si="9"/>
        <v>0.28497031169111053</v>
      </c>
      <c r="F12" s="9">
        <f t="shared" si="9"/>
        <v>0.28544085820937959</v>
      </c>
      <c r="G12" s="9">
        <f t="shared" si="9"/>
        <v>0.34558253788206494</v>
      </c>
      <c r="H12" s="9">
        <f t="shared" si="9"/>
        <v>0.31537944434054321</v>
      </c>
      <c r="I12" s="9">
        <f t="shared" si="9"/>
        <v>0.31537924180806987</v>
      </c>
      <c r="J12" s="9">
        <f t="shared" si="9"/>
        <v>0.33837064743373346</v>
      </c>
      <c r="K12" s="9">
        <f t="shared" si="9"/>
        <v>0.33884135274840943</v>
      </c>
      <c r="L12" s="9">
        <f t="shared" si="9"/>
        <v>0.41970860277949595</v>
      </c>
      <c r="M12" s="9">
        <f t="shared" si="9"/>
        <v>0.3655039634238697</v>
      </c>
      <c r="N12" s="9">
        <f t="shared" si="9"/>
        <v>0.36550406195318119</v>
      </c>
      <c r="O12" s="9">
        <f t="shared" si="9"/>
        <v>0.43947461138405675</v>
      </c>
      <c r="P12" s="9">
        <f t="shared" si="9"/>
        <v>0.50770614378463597</v>
      </c>
      <c r="Q12" s="9">
        <f t="shared" si="9"/>
        <v>0.64094529624442498</v>
      </c>
      <c r="R12" s="9">
        <f t="shared" si="9"/>
        <v>0.64019160595820757</v>
      </c>
      <c r="S12" s="9">
        <f t="shared" si="9"/>
        <v>0.64623902436949043</v>
      </c>
      <c r="T12" s="9">
        <f t="shared" si="9"/>
        <v>0.64292903109065203</v>
      </c>
      <c r="U12" s="9">
        <f t="shared" si="9"/>
        <v>0.65703858685785566</v>
      </c>
    </row>
    <row r="13" spans="1:21">
      <c r="A13" s="10" t="s">
        <v>237</v>
      </c>
      <c r="B13" s="11">
        <f t="shared" ref="B13:U13" si="10">B334</f>
        <v>1806858.6998069705</v>
      </c>
      <c r="C13" s="11">
        <f t="shared" si="10"/>
        <v>1693636.051226736</v>
      </c>
      <c r="D13" s="11">
        <f t="shared" si="10"/>
        <v>1717764.6933632689</v>
      </c>
      <c r="E13" s="11">
        <f t="shared" si="10"/>
        <v>1667326.896820263</v>
      </c>
      <c r="F13" s="11">
        <f t="shared" si="10"/>
        <v>1592223.4947849466</v>
      </c>
      <c r="G13" s="11">
        <f t="shared" si="10"/>
        <v>3146506.0868497742</v>
      </c>
      <c r="H13" s="11">
        <f t="shared" si="10"/>
        <v>1451040.5572834322</v>
      </c>
      <c r="I13" s="11">
        <f t="shared" si="10"/>
        <v>1314381.4135422902</v>
      </c>
      <c r="J13" s="11">
        <f t="shared" si="10"/>
        <v>1095659.9391603349</v>
      </c>
      <c r="K13" s="11">
        <f t="shared" si="10"/>
        <v>992626.18451335188</v>
      </c>
      <c r="L13" s="11">
        <f t="shared" si="10"/>
        <v>2101504.4648399418</v>
      </c>
      <c r="M13" s="11">
        <f t="shared" si="10"/>
        <v>117.76309096161276</v>
      </c>
      <c r="N13" s="11">
        <f t="shared" si="10"/>
        <v>-197211.44581465703</v>
      </c>
      <c r="O13" s="11">
        <f t="shared" si="10"/>
        <v>773934.89302310441</v>
      </c>
      <c r="P13" s="11">
        <f t="shared" si="10"/>
        <v>1488816.49573188</v>
      </c>
      <c r="Q13" s="11">
        <f t="shared" si="10"/>
        <v>5071352.242803135</v>
      </c>
      <c r="R13" s="11">
        <f t="shared" si="10"/>
        <v>4971580.3442006009</v>
      </c>
      <c r="S13" s="11">
        <f t="shared" si="10"/>
        <v>4303561.0465716729</v>
      </c>
      <c r="T13" s="11">
        <f t="shared" si="10"/>
        <v>4153359.3798414664</v>
      </c>
      <c r="U13" s="11">
        <f t="shared" si="10"/>
        <v>2799122.7050558394</v>
      </c>
    </row>
    <row r="14" spans="1:21">
      <c r="A14" s="10" t="s">
        <v>238</v>
      </c>
      <c r="B14" s="11">
        <f t="shared" ref="B14:U14" si="11">B335</f>
        <v>511955.26876968704</v>
      </c>
      <c r="C14" s="11">
        <f t="shared" si="11"/>
        <v>511941.3177614361</v>
      </c>
      <c r="D14" s="11">
        <f t="shared" si="11"/>
        <v>511954.66220411099</v>
      </c>
      <c r="E14" s="11">
        <f t="shared" si="11"/>
        <v>465034.75256469846</v>
      </c>
      <c r="F14" s="11">
        <f t="shared" si="11"/>
        <v>465029.65741385892</v>
      </c>
      <c r="G14" s="11">
        <f t="shared" si="11"/>
        <v>337219.25435496122</v>
      </c>
      <c r="H14" s="11">
        <f t="shared" si="11"/>
        <v>398193.40970725752</v>
      </c>
      <c r="I14" s="11">
        <f t="shared" si="11"/>
        <v>398188.9211219959</v>
      </c>
      <c r="J14" s="11">
        <f t="shared" si="11"/>
        <v>344322.98644367233</v>
      </c>
      <c r="K14" s="11">
        <f t="shared" si="11"/>
        <v>344321.41058630683</v>
      </c>
      <c r="L14" s="11">
        <f t="shared" si="11"/>
        <v>164596.39309448097</v>
      </c>
      <c r="M14" s="11">
        <f t="shared" si="11"/>
        <v>277916.42979122885</v>
      </c>
      <c r="N14" s="11">
        <f t="shared" si="11"/>
        <v>277918.61342730373</v>
      </c>
      <c r="O14" s="11">
        <f t="shared" si="11"/>
        <v>112282.65972556733</v>
      </c>
      <c r="P14" s="11">
        <f t="shared" si="11"/>
        <v>-55341.251995495521</v>
      </c>
      <c r="Q14" s="11">
        <f t="shared" si="11"/>
        <v>-409870.94591213949</v>
      </c>
      <c r="R14" s="11">
        <f t="shared" si="11"/>
        <v>-405707.47979733534</v>
      </c>
      <c r="S14" s="11">
        <f t="shared" si="11"/>
        <v>-428185.10166644119</v>
      </c>
      <c r="T14" s="11">
        <f t="shared" si="11"/>
        <v>-418074.26007732563</v>
      </c>
      <c r="U14" s="11">
        <f t="shared" si="11"/>
        <v>-460112.65127286781</v>
      </c>
    </row>
    <row r="15" spans="1:21">
      <c r="A15" s="10" t="s">
        <v>239</v>
      </c>
      <c r="B15" s="11">
        <f t="shared" ref="B15:U15" si="12">B336</f>
        <v>2318813.9685766576</v>
      </c>
      <c r="C15" s="11">
        <f t="shared" si="12"/>
        <v>2205577.3689881722</v>
      </c>
      <c r="D15" s="11">
        <f t="shared" si="12"/>
        <v>2229719.3555673799</v>
      </c>
      <c r="E15" s="11">
        <f t="shared" si="12"/>
        <v>2132361.6493849615</v>
      </c>
      <c r="F15" s="11">
        <f t="shared" si="12"/>
        <v>2057253.1521988055</v>
      </c>
      <c r="G15" s="11">
        <f t="shared" si="12"/>
        <v>3483725.3412047355</v>
      </c>
      <c r="H15" s="11">
        <f t="shared" si="12"/>
        <v>1849233.9669906897</v>
      </c>
      <c r="I15" s="11">
        <f t="shared" si="12"/>
        <v>1712570.3346642861</v>
      </c>
      <c r="J15" s="11">
        <f t="shared" si="12"/>
        <v>1439982.9256040072</v>
      </c>
      <c r="K15" s="11">
        <f t="shared" si="12"/>
        <v>1336947.5950996587</v>
      </c>
      <c r="L15" s="11">
        <f t="shared" si="12"/>
        <v>2266100.8579344228</v>
      </c>
      <c r="M15" s="11">
        <f t="shared" si="12"/>
        <v>278034.19288219046</v>
      </c>
      <c r="N15" s="11">
        <f t="shared" si="12"/>
        <v>80707.167612646706</v>
      </c>
      <c r="O15" s="11">
        <f t="shared" si="12"/>
        <v>886217.55274867173</v>
      </c>
      <c r="P15" s="11">
        <f t="shared" si="12"/>
        <v>1433475.2437363844</v>
      </c>
      <c r="Q15" s="11">
        <f t="shared" si="12"/>
        <v>4661481.2968909955</v>
      </c>
      <c r="R15" s="11">
        <f t="shared" si="12"/>
        <v>4565872.8644032655</v>
      </c>
      <c r="S15" s="11">
        <f t="shared" si="12"/>
        <v>3875375.9449052317</v>
      </c>
      <c r="T15" s="11">
        <f t="shared" si="12"/>
        <v>3735285.1197641408</v>
      </c>
      <c r="U15" s="11">
        <f t="shared" si="12"/>
        <v>2339010.0537829716</v>
      </c>
    </row>
    <row r="16" spans="1:21">
      <c r="A16" s="10" t="s">
        <v>159</v>
      </c>
      <c r="B16" s="9">
        <f t="shared" ref="B16:U16" si="13">B337</f>
        <v>1.7625878432900377</v>
      </c>
      <c r="C16" s="9">
        <f t="shared" si="13"/>
        <v>1.7056228157135829</v>
      </c>
      <c r="D16" s="9">
        <f t="shared" si="13"/>
        <v>1.705447282144346</v>
      </c>
      <c r="E16" s="9">
        <f t="shared" si="13"/>
        <v>1.5938539664838045</v>
      </c>
      <c r="F16" s="9">
        <f t="shared" si="13"/>
        <v>1.5544084993593499</v>
      </c>
      <c r="G16" s="9">
        <f t="shared" si="13"/>
        <v>1.8729572079597601</v>
      </c>
      <c r="H16" s="9">
        <f t="shared" si="13"/>
        <v>1.4520561745956519</v>
      </c>
      <c r="I16" s="9">
        <f t="shared" si="13"/>
        <v>1.4067170163501619</v>
      </c>
      <c r="J16" s="9">
        <f t="shared" si="13"/>
        <v>1.313672758332574</v>
      </c>
      <c r="K16" s="9">
        <f t="shared" si="13"/>
        <v>1.2838097766144683</v>
      </c>
      <c r="L16" s="9">
        <f t="shared" si="13"/>
        <v>1.4089905291606413</v>
      </c>
      <c r="M16" s="9">
        <f t="shared" si="13"/>
        <v>1.0497313999498212</v>
      </c>
      <c r="N16" s="9">
        <f t="shared" si="13"/>
        <v>1.0141325799969101</v>
      </c>
      <c r="O16" s="9">
        <f t="shared" si="13"/>
        <v>1.1354924125578096</v>
      </c>
      <c r="P16" s="9">
        <f t="shared" si="13"/>
        <v>1.195677120120459</v>
      </c>
      <c r="Q16" s="9">
        <f t="shared" si="13"/>
        <v>1.5945223096747205</v>
      </c>
      <c r="R16" s="9">
        <f t="shared" si="13"/>
        <v>1.5760832428754086</v>
      </c>
      <c r="S16" s="9">
        <f t="shared" si="13"/>
        <v>1.4646334186644154</v>
      </c>
      <c r="T16" s="9">
        <f t="shared" si="13"/>
        <v>1.4433195457264358</v>
      </c>
      <c r="U16" s="9">
        <f t="shared" si="13"/>
        <v>1.2504101135592354</v>
      </c>
    </row>
    <row r="18" spans="1:21">
      <c r="A18" s="52" t="s">
        <v>310</v>
      </c>
      <c r="B18" s="53">
        <f t="shared" ref="B18:U18" si="14">-SUM(B8:B11)</f>
        <v>3040717.1960315853</v>
      </c>
      <c r="C18" s="53">
        <f t="shared" si="14"/>
        <v>3125717.1960315853</v>
      </c>
      <c r="D18" s="53">
        <f t="shared" si="14"/>
        <v>3160717.1960315853</v>
      </c>
      <c r="E18" s="53">
        <f t="shared" si="14"/>
        <v>3590717.1960315853</v>
      </c>
      <c r="F18" s="53">
        <f t="shared" si="14"/>
        <v>3710717.1960315853</v>
      </c>
      <c r="G18" s="53">
        <f t="shared" si="14"/>
        <v>3990717.1960315853</v>
      </c>
      <c r="H18" s="53">
        <f t="shared" si="14"/>
        <v>4090717.1960315853</v>
      </c>
      <c r="I18" s="53">
        <f t="shared" si="14"/>
        <v>4210717.1960315853</v>
      </c>
      <c r="J18" s="53">
        <f t="shared" si="14"/>
        <v>4590717.1960315853</v>
      </c>
      <c r="K18" s="53">
        <f t="shared" si="14"/>
        <v>4710717.1960315853</v>
      </c>
      <c r="L18" s="53">
        <f t="shared" si="14"/>
        <v>5540717.1960315853</v>
      </c>
      <c r="M18" s="53">
        <f t="shared" si="14"/>
        <v>5590717.1960315853</v>
      </c>
      <c r="N18" s="53">
        <f t="shared" si="14"/>
        <v>5710717.1960315853</v>
      </c>
      <c r="O18" s="53">
        <f t="shared" si="14"/>
        <v>6540717.1960315853</v>
      </c>
      <c r="P18" s="53">
        <f t="shared" si="14"/>
        <v>7366875.4560315851</v>
      </c>
      <c r="Q18" s="53">
        <f t="shared" si="14"/>
        <v>7881875.4560315851</v>
      </c>
      <c r="R18" s="53">
        <f t="shared" si="14"/>
        <v>7966875.4560315851</v>
      </c>
      <c r="S18" s="53">
        <f t="shared" si="14"/>
        <v>8381875.4560315851</v>
      </c>
      <c r="T18" s="53">
        <f t="shared" si="14"/>
        <v>8466875.4560315851</v>
      </c>
      <c r="U18" s="53">
        <f t="shared" si="14"/>
        <v>9381875.4560315851</v>
      </c>
    </row>
    <row r="20" spans="1:21">
      <c r="A20" s="14" t="s">
        <v>295</v>
      </c>
    </row>
    <row r="21" spans="1:21">
      <c r="A21" t="s">
        <v>207</v>
      </c>
      <c r="B21" s="14">
        <v>1</v>
      </c>
      <c r="C21" s="14">
        <v>2</v>
      </c>
      <c r="D21" s="14">
        <v>3</v>
      </c>
      <c r="E21" s="14">
        <v>4</v>
      </c>
      <c r="F21" s="14">
        <v>5</v>
      </c>
      <c r="G21" s="14">
        <v>6</v>
      </c>
      <c r="H21" s="14">
        <v>7</v>
      </c>
      <c r="I21" s="14">
        <v>8</v>
      </c>
      <c r="J21" s="14">
        <v>9</v>
      </c>
      <c r="K21" s="14">
        <v>10</v>
      </c>
      <c r="L21" s="14">
        <v>11</v>
      </c>
      <c r="M21" s="14">
        <v>12</v>
      </c>
      <c r="N21" s="14">
        <v>13</v>
      </c>
      <c r="O21" s="14">
        <v>14</v>
      </c>
      <c r="P21" s="14">
        <v>15</v>
      </c>
      <c r="Q21" s="14">
        <v>16</v>
      </c>
      <c r="R21" s="14">
        <v>17</v>
      </c>
      <c r="S21" s="14">
        <v>18</v>
      </c>
      <c r="T21" s="14">
        <v>19</v>
      </c>
      <c r="U21" s="14">
        <v>20</v>
      </c>
    </row>
    <row r="22" spans="1:21">
      <c r="A22" t="s">
        <v>63</v>
      </c>
      <c r="B22" t="s">
        <v>212</v>
      </c>
      <c r="C22" t="s">
        <v>212</v>
      </c>
      <c r="D22" t="s">
        <v>212</v>
      </c>
      <c r="E22" t="s">
        <v>212</v>
      </c>
      <c r="F22" t="s">
        <v>212</v>
      </c>
      <c r="G22" t="s">
        <v>212</v>
      </c>
      <c r="H22" t="s">
        <v>212</v>
      </c>
      <c r="I22" t="s">
        <v>212</v>
      </c>
      <c r="J22" t="s">
        <v>212</v>
      </c>
      <c r="K22" t="s">
        <v>212</v>
      </c>
      <c r="L22" t="s">
        <v>212</v>
      </c>
      <c r="M22" t="s">
        <v>212</v>
      </c>
      <c r="N22" t="s">
        <v>212</v>
      </c>
      <c r="O22" t="s">
        <v>212</v>
      </c>
      <c r="P22" t="s">
        <v>212</v>
      </c>
      <c r="Q22" t="s">
        <v>212</v>
      </c>
      <c r="R22" t="s">
        <v>212</v>
      </c>
      <c r="S22" t="s">
        <v>212</v>
      </c>
      <c r="T22" t="s">
        <v>212</v>
      </c>
      <c r="U22" t="s">
        <v>212</v>
      </c>
    </row>
    <row r="23" spans="1:21">
      <c r="A23" t="s">
        <v>104</v>
      </c>
    </row>
    <row r="24" spans="1:21">
      <c r="A24" t="s">
        <v>105</v>
      </c>
    </row>
    <row r="25" spans="1:21">
      <c r="A25" t="s">
        <v>106</v>
      </c>
      <c r="B25" t="s">
        <v>107</v>
      </c>
      <c r="C25" t="s">
        <v>107</v>
      </c>
      <c r="D25" t="s">
        <v>107</v>
      </c>
      <c r="E25" t="s">
        <v>107</v>
      </c>
      <c r="F25" t="s">
        <v>107</v>
      </c>
      <c r="G25" t="s">
        <v>107</v>
      </c>
      <c r="H25" t="s">
        <v>107</v>
      </c>
      <c r="I25" t="s">
        <v>107</v>
      </c>
      <c r="J25" t="s">
        <v>107</v>
      </c>
      <c r="K25" t="s">
        <v>107</v>
      </c>
      <c r="L25" t="s">
        <v>107</v>
      </c>
      <c r="M25" t="s">
        <v>107</v>
      </c>
      <c r="N25" t="s">
        <v>107</v>
      </c>
      <c r="O25" t="s">
        <v>107</v>
      </c>
    </row>
    <row r="26" spans="1:21">
      <c r="A26" t="s">
        <v>108</v>
      </c>
    </row>
    <row r="27" spans="1:21">
      <c r="A27" t="s">
        <v>51</v>
      </c>
      <c r="B27" t="s">
        <v>212</v>
      </c>
      <c r="C27" t="s">
        <v>212</v>
      </c>
      <c r="D27" t="s">
        <v>212</v>
      </c>
      <c r="E27" t="s">
        <v>212</v>
      </c>
      <c r="F27" t="s">
        <v>212</v>
      </c>
      <c r="G27" t="s">
        <v>212</v>
      </c>
      <c r="H27" t="s">
        <v>212</v>
      </c>
      <c r="I27" t="s">
        <v>212</v>
      </c>
      <c r="J27" t="s">
        <v>212</v>
      </c>
      <c r="K27" t="s">
        <v>212</v>
      </c>
      <c r="L27" t="s">
        <v>212</v>
      </c>
      <c r="M27" t="s">
        <v>212</v>
      </c>
      <c r="N27" t="s">
        <v>212</v>
      </c>
      <c r="O27" t="s">
        <v>212</v>
      </c>
      <c r="P27" t="s">
        <v>212</v>
      </c>
      <c r="Q27" t="s">
        <v>212</v>
      </c>
      <c r="R27" t="s">
        <v>212</v>
      </c>
      <c r="S27" t="s">
        <v>212</v>
      </c>
      <c r="T27" t="s">
        <v>212</v>
      </c>
      <c r="U27" t="s">
        <v>212</v>
      </c>
    </row>
    <row r="28" spans="1:21">
      <c r="A28" t="s">
        <v>55</v>
      </c>
      <c r="B28" t="s">
        <v>212</v>
      </c>
      <c r="C28" t="s">
        <v>212</v>
      </c>
      <c r="D28" t="s">
        <v>212</v>
      </c>
      <c r="E28" t="s">
        <v>212</v>
      </c>
      <c r="F28" t="s">
        <v>212</v>
      </c>
      <c r="G28" t="s">
        <v>212</v>
      </c>
      <c r="H28" t="s">
        <v>212</v>
      </c>
      <c r="I28" t="s">
        <v>212</v>
      </c>
      <c r="J28" t="s">
        <v>212</v>
      </c>
      <c r="K28" t="s">
        <v>212</v>
      </c>
      <c r="L28" t="s">
        <v>212</v>
      </c>
      <c r="M28" t="s">
        <v>212</v>
      </c>
      <c r="N28" t="s">
        <v>212</v>
      </c>
      <c r="O28" t="s">
        <v>212</v>
      </c>
      <c r="P28" t="s">
        <v>212</v>
      </c>
      <c r="Q28" t="s">
        <v>212</v>
      </c>
      <c r="R28" t="s">
        <v>212</v>
      </c>
      <c r="S28" t="s">
        <v>212</v>
      </c>
      <c r="T28" t="s">
        <v>212</v>
      </c>
      <c r="U28" t="s">
        <v>212</v>
      </c>
    </row>
    <row r="29" spans="1:21">
      <c r="A29" t="s">
        <v>53</v>
      </c>
      <c r="B29" t="s">
        <v>212</v>
      </c>
      <c r="C29" t="s">
        <v>212</v>
      </c>
      <c r="D29" t="s">
        <v>212</v>
      </c>
      <c r="E29" t="s">
        <v>212</v>
      </c>
      <c r="F29" t="s">
        <v>212</v>
      </c>
      <c r="G29" t="s">
        <v>212</v>
      </c>
      <c r="H29" t="s">
        <v>212</v>
      </c>
      <c r="I29" t="s">
        <v>212</v>
      </c>
      <c r="J29" t="s">
        <v>212</v>
      </c>
      <c r="K29" t="s">
        <v>212</v>
      </c>
      <c r="L29" t="s">
        <v>212</v>
      </c>
      <c r="M29" t="s">
        <v>212</v>
      </c>
      <c r="N29" t="s">
        <v>212</v>
      </c>
      <c r="O29" t="s">
        <v>212</v>
      </c>
      <c r="P29" t="s">
        <v>212</v>
      </c>
      <c r="Q29" t="s">
        <v>212</v>
      </c>
      <c r="R29" t="s">
        <v>212</v>
      </c>
      <c r="S29" t="s">
        <v>212</v>
      </c>
      <c r="T29" t="s">
        <v>212</v>
      </c>
      <c r="U29" t="s">
        <v>212</v>
      </c>
    </row>
    <row r="30" spans="1:21">
      <c r="A30" t="s">
        <v>65</v>
      </c>
      <c r="B30" t="s">
        <v>212</v>
      </c>
      <c r="C30" t="s">
        <v>212</v>
      </c>
      <c r="D30" t="s">
        <v>212</v>
      </c>
      <c r="E30" t="s">
        <v>212</v>
      </c>
      <c r="F30" t="s">
        <v>212</v>
      </c>
      <c r="G30" t="s">
        <v>212</v>
      </c>
      <c r="H30" t="s">
        <v>212</v>
      </c>
      <c r="I30" t="s">
        <v>212</v>
      </c>
      <c r="J30" t="s">
        <v>212</v>
      </c>
      <c r="K30" t="s">
        <v>212</v>
      </c>
      <c r="L30" t="s">
        <v>212</v>
      </c>
      <c r="M30" t="s">
        <v>212</v>
      </c>
      <c r="N30" t="s">
        <v>212</v>
      </c>
      <c r="O30" t="s">
        <v>212</v>
      </c>
      <c r="P30" t="s">
        <v>212</v>
      </c>
      <c r="Q30" t="s">
        <v>212</v>
      </c>
      <c r="R30" t="s">
        <v>212</v>
      </c>
      <c r="S30" t="s">
        <v>212</v>
      </c>
      <c r="T30" t="s">
        <v>212</v>
      </c>
      <c r="U30" t="s">
        <v>212</v>
      </c>
    </row>
    <row r="31" spans="1:21">
      <c r="A31" t="s">
        <v>66</v>
      </c>
    </row>
    <row r="32" spans="1:21">
      <c r="A32" t="s">
        <v>30</v>
      </c>
    </row>
    <row r="33" spans="1:21">
      <c r="A33" t="s">
        <v>67</v>
      </c>
      <c r="B33" s="9">
        <v>0.29665313999999998</v>
      </c>
      <c r="C33" s="9">
        <v>0.29665017999999999</v>
      </c>
      <c r="D33" s="9">
        <v>0.29665301999999999</v>
      </c>
      <c r="E33" s="9">
        <v>0.28665412000000001</v>
      </c>
      <c r="F33" s="9">
        <v>0.28665304000000003</v>
      </c>
      <c r="G33" s="9">
        <v>0.25941593000000002</v>
      </c>
      <c r="H33" s="9">
        <v>0.27240987</v>
      </c>
      <c r="I33" s="9">
        <v>0.27240890000000001</v>
      </c>
      <c r="J33" s="9">
        <v>0.26092978999999999</v>
      </c>
      <c r="K33" s="9">
        <v>0.26092995000000002</v>
      </c>
      <c r="L33" s="9">
        <v>0.22262904</v>
      </c>
      <c r="M33" s="9">
        <v>0.24677816999999999</v>
      </c>
      <c r="N33" s="9">
        <v>0.24677863999999999</v>
      </c>
      <c r="O33" s="9">
        <v>0.21148072000000001</v>
      </c>
      <c r="P33" s="9">
        <v>0.17575911999999999</v>
      </c>
      <c r="Q33" s="9">
        <v>0.10020688</v>
      </c>
      <c r="R33" s="9">
        <v>0.10109414999999999</v>
      </c>
      <c r="S33" s="9">
        <v>9.6304029999999999E-2</v>
      </c>
      <c r="T33" s="9">
        <v>9.8458729999999994E-2</v>
      </c>
      <c r="U33" s="9">
        <v>8.9500109999999994E-2</v>
      </c>
    </row>
    <row r="34" spans="1:21">
      <c r="A34" t="s">
        <v>68</v>
      </c>
      <c r="B34" s="7">
        <v>1</v>
      </c>
      <c r="C34" s="7">
        <v>1</v>
      </c>
      <c r="D34" s="7">
        <v>1</v>
      </c>
      <c r="E34" s="7">
        <v>1</v>
      </c>
      <c r="F34" s="7">
        <v>1</v>
      </c>
      <c r="G34" s="7">
        <v>1</v>
      </c>
      <c r="H34" s="7">
        <v>1</v>
      </c>
      <c r="I34" s="7">
        <v>1</v>
      </c>
      <c r="J34" s="7">
        <v>1</v>
      </c>
      <c r="K34" s="7">
        <v>1</v>
      </c>
      <c r="L34" s="7">
        <v>1</v>
      </c>
      <c r="M34" s="7">
        <v>1</v>
      </c>
      <c r="N34" s="7">
        <v>1</v>
      </c>
      <c r="O34" s="7">
        <v>1</v>
      </c>
      <c r="P34" s="7">
        <v>1</v>
      </c>
      <c r="Q34" s="7">
        <v>1</v>
      </c>
      <c r="R34" s="7">
        <v>1</v>
      </c>
      <c r="S34" s="7">
        <v>1</v>
      </c>
      <c r="T34" s="7">
        <v>1</v>
      </c>
      <c r="U34" s="7">
        <v>1</v>
      </c>
    </row>
    <row r="35" spans="1:21">
      <c r="A35" t="s">
        <v>209</v>
      </c>
      <c r="B35" s="5">
        <v>11474836</v>
      </c>
      <c r="C35">
        <v>11474721</v>
      </c>
      <c r="D35">
        <v>11474831</v>
      </c>
      <c r="E35">
        <v>11088064</v>
      </c>
      <c r="F35">
        <v>11088022</v>
      </c>
      <c r="G35">
        <v>10034464</v>
      </c>
      <c r="H35">
        <v>10537082</v>
      </c>
      <c r="I35">
        <v>10537045</v>
      </c>
      <c r="J35">
        <v>10093021</v>
      </c>
      <c r="K35" s="2">
        <v>10093008</v>
      </c>
      <c r="L35">
        <v>8611511</v>
      </c>
      <c r="M35">
        <v>9545623</v>
      </c>
      <c r="N35">
        <v>9545641</v>
      </c>
      <c r="O35">
        <v>8180282</v>
      </c>
      <c r="P35">
        <v>6798536</v>
      </c>
      <c r="Q35">
        <v>3876101</v>
      </c>
      <c r="R35">
        <v>3910421</v>
      </c>
      <c r="S35">
        <v>3725135</v>
      </c>
      <c r="T35">
        <v>3808480</v>
      </c>
      <c r="U35">
        <v>3461952</v>
      </c>
    </row>
    <row r="36" spans="1:21">
      <c r="A36" t="s">
        <v>211</v>
      </c>
      <c r="B36" s="5">
        <v>27206150</v>
      </c>
      <c r="C36">
        <v>27206264</v>
      </c>
      <c r="D36">
        <v>27206154</v>
      </c>
      <c r="E36">
        <v>27592922</v>
      </c>
      <c r="F36">
        <v>27592964</v>
      </c>
      <c r="G36">
        <v>28646522</v>
      </c>
      <c r="H36">
        <v>28143904</v>
      </c>
      <c r="I36">
        <v>28143941</v>
      </c>
      <c r="J36">
        <v>28587964</v>
      </c>
      <c r="K36">
        <v>28587958</v>
      </c>
      <c r="L36">
        <v>30069475</v>
      </c>
      <c r="M36">
        <v>29135363</v>
      </c>
      <c r="N36">
        <v>29135345</v>
      </c>
      <c r="O36">
        <v>30500703</v>
      </c>
      <c r="P36">
        <v>31882450</v>
      </c>
      <c r="Q36">
        <v>34804885</v>
      </c>
      <c r="R36">
        <v>34770565</v>
      </c>
      <c r="S36">
        <v>34955851</v>
      </c>
      <c r="T36">
        <v>34872505</v>
      </c>
      <c r="U36">
        <v>35219033</v>
      </c>
    </row>
    <row r="37" spans="1:21">
      <c r="A37" t="s">
        <v>72</v>
      </c>
    </row>
    <row r="38" spans="1:21">
      <c r="A38" t="s">
        <v>73</v>
      </c>
      <c r="B38" s="9"/>
      <c r="C38" s="9"/>
      <c r="D38" s="9"/>
      <c r="E38" s="9"/>
      <c r="F38" s="9"/>
      <c r="G38" s="9"/>
      <c r="H38" s="9"/>
      <c r="I38" s="9"/>
      <c r="J38" s="9"/>
      <c r="K38" s="9"/>
      <c r="L38" s="9"/>
      <c r="M38" s="9"/>
      <c r="N38" s="9"/>
      <c r="O38" s="9"/>
      <c r="P38" s="9"/>
      <c r="Q38" s="9"/>
      <c r="R38" s="9"/>
      <c r="S38" s="9"/>
      <c r="T38" s="9"/>
      <c r="U38" s="9"/>
    </row>
    <row r="39" spans="1:21">
      <c r="A39" t="s">
        <v>74</v>
      </c>
      <c r="B39" s="7"/>
      <c r="C39" s="7"/>
      <c r="D39" s="7"/>
      <c r="E39" s="7"/>
      <c r="F39" s="7"/>
      <c r="G39" s="7"/>
      <c r="H39" s="7"/>
      <c r="I39" s="7"/>
      <c r="J39" s="7"/>
      <c r="K39" s="7"/>
      <c r="L39" s="7"/>
      <c r="M39" s="7"/>
      <c r="N39" s="7"/>
      <c r="O39" s="7"/>
      <c r="P39" s="7"/>
      <c r="Q39" s="7"/>
      <c r="R39" s="7"/>
      <c r="S39" s="7"/>
      <c r="T39" s="7"/>
      <c r="U39" s="7"/>
    </row>
    <row r="40" spans="1:21">
      <c r="A40" t="s">
        <v>75</v>
      </c>
      <c r="B40">
        <v>11474836.32</v>
      </c>
      <c r="C40">
        <v>11474721.699999999</v>
      </c>
      <c r="D40">
        <v>11474831.66</v>
      </c>
      <c r="E40">
        <v>11088064.33</v>
      </c>
      <c r="F40">
        <v>11088022.34</v>
      </c>
      <c r="G40">
        <v>10034464.109999999</v>
      </c>
      <c r="H40">
        <v>10537082.460000001</v>
      </c>
      <c r="I40">
        <v>10537045.130000001</v>
      </c>
      <c r="J40">
        <v>10093021.710000001</v>
      </c>
      <c r="K40">
        <v>10093028</v>
      </c>
      <c r="L40">
        <v>8611511.0700000003</v>
      </c>
      <c r="M40">
        <v>9545623.0500000007</v>
      </c>
      <c r="N40">
        <v>9545641.3699999992</v>
      </c>
      <c r="O40">
        <v>8180282.8200000003</v>
      </c>
      <c r="P40">
        <v>6798536.0700000003</v>
      </c>
      <c r="Q40">
        <v>3876101.11</v>
      </c>
      <c r="R40">
        <v>3910421.49</v>
      </c>
      <c r="S40">
        <v>3725135.09</v>
      </c>
      <c r="T40">
        <v>3808480.83</v>
      </c>
      <c r="U40">
        <v>3461952.74</v>
      </c>
    </row>
    <row r="41" spans="1:21">
      <c r="A41" t="s">
        <v>76</v>
      </c>
      <c r="B41">
        <v>27206150.329999998</v>
      </c>
      <c r="C41">
        <v>27206264.949999999</v>
      </c>
      <c r="D41">
        <v>27206154.989999998</v>
      </c>
      <c r="E41">
        <v>27592922.32</v>
      </c>
      <c r="F41">
        <v>27592964.309999999</v>
      </c>
      <c r="G41">
        <v>28646522.539999999</v>
      </c>
      <c r="H41">
        <v>28143904.190000001</v>
      </c>
      <c r="I41">
        <v>28143941.52</v>
      </c>
      <c r="J41">
        <v>28587964.940000001</v>
      </c>
      <c r="K41">
        <v>28587958.640000001</v>
      </c>
      <c r="L41">
        <v>30069475.579999998</v>
      </c>
      <c r="M41">
        <v>29135363.600000001</v>
      </c>
      <c r="N41">
        <v>29135345.280000001</v>
      </c>
      <c r="O41">
        <v>30500703.829999998</v>
      </c>
      <c r="P41">
        <v>31882450.579999998</v>
      </c>
      <c r="Q41">
        <v>34804885.539999999</v>
      </c>
      <c r="R41">
        <v>34770565.159999996</v>
      </c>
      <c r="S41">
        <v>34955851.560000002</v>
      </c>
      <c r="T41">
        <v>34872505.82</v>
      </c>
      <c r="U41">
        <v>35219033.909999996</v>
      </c>
    </row>
    <row r="42" spans="1:21">
      <c r="A42" t="s">
        <v>77</v>
      </c>
    </row>
    <row r="43" spans="1:21">
      <c r="A43" t="s">
        <v>7</v>
      </c>
      <c r="B43" t="s">
        <v>8</v>
      </c>
      <c r="C43" t="s">
        <v>8</v>
      </c>
      <c r="D43" t="s">
        <v>8</v>
      </c>
      <c r="E43" t="s">
        <v>13</v>
      </c>
      <c r="F43" t="s">
        <v>13</v>
      </c>
      <c r="G43" t="s">
        <v>8</v>
      </c>
      <c r="H43" t="s">
        <v>15</v>
      </c>
      <c r="I43" t="s">
        <v>15</v>
      </c>
      <c r="J43" t="s">
        <v>17</v>
      </c>
      <c r="K43" t="s">
        <v>17</v>
      </c>
      <c r="L43" t="s">
        <v>17</v>
      </c>
      <c r="M43" t="s">
        <v>18</v>
      </c>
      <c r="N43" t="s">
        <v>18</v>
      </c>
      <c r="O43" t="s">
        <v>18</v>
      </c>
      <c r="P43" t="s">
        <v>18</v>
      </c>
      <c r="Q43" t="s">
        <v>15</v>
      </c>
      <c r="R43" t="s">
        <v>15</v>
      </c>
      <c r="S43" t="s">
        <v>17</v>
      </c>
      <c r="T43" t="s">
        <v>17</v>
      </c>
      <c r="U43" t="s">
        <v>18</v>
      </c>
    </row>
    <row r="44" spans="1:21">
      <c r="A44" t="s">
        <v>9</v>
      </c>
      <c r="B44" t="s">
        <v>8</v>
      </c>
      <c r="C44" t="s">
        <v>8</v>
      </c>
      <c r="D44" t="s">
        <v>8</v>
      </c>
      <c r="E44" t="s">
        <v>8</v>
      </c>
      <c r="F44" t="s">
        <v>8</v>
      </c>
      <c r="G44" t="s">
        <v>8</v>
      </c>
      <c r="H44" t="s">
        <v>8</v>
      </c>
      <c r="I44" t="s">
        <v>8</v>
      </c>
      <c r="J44" t="s">
        <v>8</v>
      </c>
      <c r="K44" t="s">
        <v>8</v>
      </c>
      <c r="L44" t="s">
        <v>8</v>
      </c>
      <c r="M44" t="s">
        <v>8</v>
      </c>
      <c r="N44" t="s">
        <v>8</v>
      </c>
      <c r="O44" t="s">
        <v>8</v>
      </c>
      <c r="P44" t="s">
        <v>8</v>
      </c>
      <c r="Q44" t="s">
        <v>8</v>
      </c>
      <c r="R44" t="s">
        <v>8</v>
      </c>
      <c r="S44" t="s">
        <v>8</v>
      </c>
      <c r="T44" t="s">
        <v>8</v>
      </c>
      <c r="U44" t="s">
        <v>8</v>
      </c>
    </row>
    <row r="45" spans="1:21">
      <c r="A45" t="s">
        <v>10</v>
      </c>
      <c r="B45" t="s">
        <v>8</v>
      </c>
      <c r="C45" t="s">
        <v>8</v>
      </c>
      <c r="D45" t="s">
        <v>8</v>
      </c>
      <c r="E45" t="s">
        <v>8</v>
      </c>
      <c r="F45" t="s">
        <v>8</v>
      </c>
      <c r="G45" t="s">
        <v>20</v>
      </c>
      <c r="H45" t="s">
        <v>8</v>
      </c>
      <c r="I45" t="s">
        <v>8</v>
      </c>
      <c r="J45" t="s">
        <v>8</v>
      </c>
      <c r="K45" t="s">
        <v>8</v>
      </c>
      <c r="L45" t="s">
        <v>20</v>
      </c>
      <c r="M45" t="s">
        <v>8</v>
      </c>
      <c r="N45" t="s">
        <v>8</v>
      </c>
      <c r="O45" t="s">
        <v>20</v>
      </c>
      <c r="P45" t="s">
        <v>199</v>
      </c>
      <c r="Q45" t="s">
        <v>21</v>
      </c>
      <c r="R45" t="s">
        <v>21</v>
      </c>
      <c r="S45" t="s">
        <v>21</v>
      </c>
      <c r="T45" t="s">
        <v>21</v>
      </c>
      <c r="U45" t="s">
        <v>21</v>
      </c>
    </row>
    <row r="46" spans="1:21">
      <c r="A46" t="s">
        <v>11</v>
      </c>
      <c r="B46" t="s">
        <v>12</v>
      </c>
      <c r="C46" t="s">
        <v>19</v>
      </c>
      <c r="D46" t="s">
        <v>14</v>
      </c>
      <c r="E46" t="s">
        <v>12</v>
      </c>
      <c r="F46" t="s">
        <v>14</v>
      </c>
      <c r="G46" t="s">
        <v>12</v>
      </c>
      <c r="H46" t="s">
        <v>12</v>
      </c>
      <c r="I46" t="s">
        <v>14</v>
      </c>
      <c r="J46" t="s">
        <v>12</v>
      </c>
      <c r="K46" t="s">
        <v>14</v>
      </c>
      <c r="L46" t="s">
        <v>12</v>
      </c>
      <c r="M46" t="s">
        <v>12</v>
      </c>
      <c r="N46" t="s">
        <v>14</v>
      </c>
      <c r="O46" t="s">
        <v>12</v>
      </c>
      <c r="P46" t="s">
        <v>19</v>
      </c>
      <c r="Q46" t="s">
        <v>12</v>
      </c>
      <c r="R46" t="s">
        <v>19</v>
      </c>
      <c r="S46" t="s">
        <v>12</v>
      </c>
      <c r="T46" t="s">
        <v>19</v>
      </c>
      <c r="U46" t="s">
        <v>12</v>
      </c>
    </row>
    <row r="47" spans="1:21">
      <c r="A47" t="s">
        <v>78</v>
      </c>
    </row>
    <row r="48" spans="1:21">
      <c r="A48" t="s">
        <v>79</v>
      </c>
      <c r="B48" s="6">
        <v>0</v>
      </c>
      <c r="C48" s="8">
        <v>85000</v>
      </c>
      <c r="D48" s="8">
        <v>120000</v>
      </c>
      <c r="E48" s="6">
        <v>550000</v>
      </c>
      <c r="F48" s="6">
        <v>670000</v>
      </c>
      <c r="G48" s="6">
        <v>950000</v>
      </c>
      <c r="H48" s="6">
        <v>1050000</v>
      </c>
      <c r="I48" s="6">
        <v>1170000</v>
      </c>
      <c r="J48" s="6">
        <v>1550000</v>
      </c>
      <c r="K48" s="6">
        <v>1670000</v>
      </c>
      <c r="L48" s="8">
        <v>2500000</v>
      </c>
      <c r="M48" s="8">
        <v>2550000</v>
      </c>
      <c r="N48" s="8">
        <v>2670000</v>
      </c>
      <c r="O48" s="8">
        <v>3500000</v>
      </c>
      <c r="P48" s="8">
        <v>4285000</v>
      </c>
      <c r="Q48" s="8">
        <v>4800000</v>
      </c>
      <c r="R48" s="8">
        <v>4885000</v>
      </c>
      <c r="S48" s="8">
        <v>5300000</v>
      </c>
      <c r="T48" s="8">
        <v>5385000</v>
      </c>
      <c r="U48" s="8">
        <v>6300000</v>
      </c>
    </row>
    <row r="49" spans="1:21">
      <c r="A49" t="s">
        <v>80</v>
      </c>
      <c r="B49" s="9">
        <v>0.99999934000000001</v>
      </c>
      <c r="C49" s="9">
        <v>0.99999881999999995</v>
      </c>
      <c r="D49" s="9">
        <v>0.99999937999999999</v>
      </c>
      <c r="E49" s="9">
        <v>0.99999890000000002</v>
      </c>
      <c r="F49" s="9">
        <v>0.99999943000000002</v>
      </c>
      <c r="G49" s="9">
        <v>0.99999875999999999</v>
      </c>
      <c r="H49" s="9">
        <v>0.99999906999999999</v>
      </c>
      <c r="I49" s="9">
        <v>0.99999945999999995</v>
      </c>
      <c r="J49" s="9">
        <v>0.99999934999999995</v>
      </c>
      <c r="K49" s="9">
        <v>0.99999958</v>
      </c>
      <c r="L49" s="9">
        <v>0.99999905</v>
      </c>
      <c r="M49" s="9">
        <v>0.99999914999999995</v>
      </c>
      <c r="N49" s="9">
        <v>0.99999930999999997</v>
      </c>
      <c r="O49" s="9">
        <v>0.99999884000000006</v>
      </c>
      <c r="P49" s="9">
        <v>0.99999965000000002</v>
      </c>
      <c r="Q49" s="9">
        <v>0.99999948000000005</v>
      </c>
      <c r="R49" s="9">
        <v>0.99999970000000005</v>
      </c>
      <c r="S49" s="9">
        <v>0.99999937999999999</v>
      </c>
      <c r="T49" s="9">
        <v>0.99999974000000003</v>
      </c>
      <c r="U49" s="9">
        <v>0.99999958</v>
      </c>
    </row>
    <row r="50" spans="1:21">
      <c r="A50" t="s">
        <v>152</v>
      </c>
      <c r="B50">
        <v>12.63</v>
      </c>
      <c r="C50">
        <v>12.63</v>
      </c>
      <c r="D50">
        <v>12.63</v>
      </c>
      <c r="E50">
        <v>11.98</v>
      </c>
      <c r="F50">
        <v>11.97</v>
      </c>
      <c r="G50">
        <v>10.57</v>
      </c>
      <c r="H50">
        <v>11.27</v>
      </c>
      <c r="I50">
        <v>11.27</v>
      </c>
      <c r="J50">
        <v>10.73</v>
      </c>
      <c r="K50">
        <v>10.72</v>
      </c>
      <c r="L50">
        <v>8.83</v>
      </c>
      <c r="M50">
        <v>10.09</v>
      </c>
      <c r="N50">
        <v>10.09</v>
      </c>
      <c r="O50">
        <v>8.36</v>
      </c>
      <c r="P50">
        <v>6.75</v>
      </c>
      <c r="Q50">
        <v>3.58</v>
      </c>
      <c r="R50">
        <v>3.6</v>
      </c>
      <c r="S50">
        <v>3.45</v>
      </c>
      <c r="T50">
        <v>3.53</v>
      </c>
      <c r="U50">
        <v>3.19</v>
      </c>
    </row>
    <row r="51" spans="1:21">
      <c r="A51" t="s">
        <v>153</v>
      </c>
      <c r="B51" s="5">
        <v>11687.694036955132</v>
      </c>
      <c r="C51" s="5">
        <v>11687.576903706846</v>
      </c>
      <c r="D51" s="5">
        <v>11687.688944205209</v>
      </c>
      <c r="E51" s="5">
        <v>11293.747422113647</v>
      </c>
      <c r="F51" s="5">
        <v>11293.704643014273</v>
      </c>
      <c r="G51" s="5">
        <v>10220.603157800333</v>
      </c>
      <c r="H51" s="5">
        <v>10732.544714217027</v>
      </c>
      <c r="I51" s="5">
        <v>10732.507027867578</v>
      </c>
      <c r="J51" s="5">
        <v>10280.2463892785</v>
      </c>
      <c r="K51" s="5">
        <v>10280.233148128693</v>
      </c>
      <c r="L51" s="5">
        <v>8771.2544008361892</v>
      </c>
      <c r="M51" s="5">
        <v>9722.6941645285187</v>
      </c>
      <c r="N51" s="5">
        <v>9722.7124984282491</v>
      </c>
      <c r="O51" s="5">
        <v>8332.0261093066092</v>
      </c>
      <c r="P51" s="5">
        <v>6924.6487415789479</v>
      </c>
      <c r="Q51" s="5">
        <v>3948.0026158400719</v>
      </c>
      <c r="R51" s="5">
        <v>3982.9592513290931</v>
      </c>
      <c r="S51" s="5">
        <v>3794.2361987877525</v>
      </c>
      <c r="T51" s="5">
        <v>3879.1272472968576</v>
      </c>
      <c r="U51" s="5">
        <v>3526.1711580561932</v>
      </c>
    </row>
    <row r="52" spans="1:21">
      <c r="A52" t="s">
        <v>83</v>
      </c>
      <c r="B52">
        <v>0</v>
      </c>
      <c r="C52">
        <v>0</v>
      </c>
      <c r="D52">
        <v>0</v>
      </c>
      <c r="E52">
        <v>0</v>
      </c>
      <c r="F52" s="5">
        <v>0</v>
      </c>
      <c r="G52" s="5">
        <v>633.75</v>
      </c>
      <c r="H52" s="5">
        <v>115935.97</v>
      </c>
      <c r="I52" s="5">
        <v>115935.97</v>
      </c>
      <c r="J52" s="5">
        <v>845840.65</v>
      </c>
      <c r="K52" s="5">
        <v>845840.65</v>
      </c>
      <c r="L52" s="5">
        <v>1479868.96</v>
      </c>
      <c r="M52" s="5">
        <v>3554503.35</v>
      </c>
      <c r="N52" s="5">
        <v>3554503.35</v>
      </c>
      <c r="O52" s="5">
        <v>4593423.99</v>
      </c>
      <c r="P52" s="5">
        <v>6058992.6100000003</v>
      </c>
      <c r="Q52" s="5">
        <v>11771357.18</v>
      </c>
      <c r="R52" s="5">
        <v>11782879.470000001</v>
      </c>
      <c r="S52" s="5">
        <v>13604052.789999999</v>
      </c>
      <c r="T52" s="5">
        <v>13528370.039999999</v>
      </c>
      <c r="U52" s="5">
        <v>17732629.140000001</v>
      </c>
    </row>
    <row r="53" spans="1:21">
      <c r="A53" t="s">
        <v>84</v>
      </c>
      <c r="B53" s="5">
        <v>0.58540000000000003</v>
      </c>
      <c r="C53" s="9">
        <v>0.5857</v>
      </c>
      <c r="D53" s="9">
        <v>0.5857</v>
      </c>
      <c r="E53" s="5">
        <v>0.5544</v>
      </c>
      <c r="F53" s="5">
        <v>0.55530000000000002</v>
      </c>
      <c r="G53" s="5">
        <v>0.5091</v>
      </c>
      <c r="H53" s="5">
        <v>0.5111</v>
      </c>
      <c r="I53" s="5">
        <v>0.51280000000000003</v>
      </c>
      <c r="J53" s="5">
        <v>0.48449999999999999</v>
      </c>
      <c r="K53" s="5">
        <v>0.4864</v>
      </c>
      <c r="L53" s="7">
        <v>0.39179999999999998</v>
      </c>
      <c r="M53" s="9">
        <v>0.4501</v>
      </c>
      <c r="N53" s="9">
        <v>0.45229999999999998</v>
      </c>
      <c r="O53" s="9">
        <v>0.3659</v>
      </c>
      <c r="P53" s="9">
        <v>0.27060000000000001</v>
      </c>
      <c r="Q53" s="9">
        <v>0.14219999999999999</v>
      </c>
      <c r="R53" s="9">
        <v>0.14299999999999999</v>
      </c>
      <c r="S53" s="9">
        <v>0.13639999999999999</v>
      </c>
      <c r="T53" s="9">
        <v>0.13980000000000001</v>
      </c>
      <c r="U53" s="9">
        <v>0.12470000000000001</v>
      </c>
    </row>
    <row r="54" spans="1:21">
      <c r="A54" t="s">
        <v>213</v>
      </c>
      <c r="B54" s="5">
        <v>11687.694036955132</v>
      </c>
      <c r="C54" s="5">
        <v>11687.576903706846</v>
      </c>
      <c r="D54" s="5">
        <v>11687.688944205209</v>
      </c>
      <c r="E54" s="5">
        <v>11293.747422113647</v>
      </c>
      <c r="F54" s="5">
        <v>11293.704643014273</v>
      </c>
      <c r="G54" s="5">
        <v>10220.603157800333</v>
      </c>
      <c r="H54" s="5">
        <v>10732.544714217027</v>
      </c>
      <c r="I54" s="5">
        <v>10732.507027867578</v>
      </c>
      <c r="J54" s="5">
        <v>10280.2463892785</v>
      </c>
      <c r="K54" s="5">
        <v>10280.233148128693</v>
      </c>
      <c r="L54" s="5">
        <v>8771.2544008361892</v>
      </c>
      <c r="M54" s="5">
        <v>9722.6941645285187</v>
      </c>
      <c r="N54" s="5">
        <v>9722.7124984282491</v>
      </c>
      <c r="O54" s="5">
        <v>8332.0261093066092</v>
      </c>
      <c r="P54" s="5">
        <v>6924.6487415789479</v>
      </c>
      <c r="Q54" s="5">
        <v>3948.0026158400719</v>
      </c>
      <c r="R54" s="5">
        <v>3982.9592513290931</v>
      </c>
      <c r="S54" s="5">
        <v>3794.2361987877525</v>
      </c>
      <c r="T54" s="5">
        <v>3879.1272472968576</v>
      </c>
      <c r="U54" s="5">
        <v>3526.1711580561932</v>
      </c>
    </row>
    <row r="55" spans="1:21">
      <c r="A55" t="s">
        <v>214</v>
      </c>
      <c r="B55" s="5">
        <v>0</v>
      </c>
      <c r="C55" s="5">
        <v>0</v>
      </c>
      <c r="D55" s="5">
        <v>0</v>
      </c>
      <c r="E55" s="5">
        <v>0</v>
      </c>
      <c r="F55" s="5">
        <v>0</v>
      </c>
      <c r="G55" s="5">
        <v>0</v>
      </c>
      <c r="H55" s="5">
        <v>0</v>
      </c>
      <c r="I55" s="5">
        <v>0</v>
      </c>
      <c r="J55" s="5">
        <v>0</v>
      </c>
      <c r="K55" s="5">
        <v>0</v>
      </c>
      <c r="L55" s="5">
        <v>0</v>
      </c>
      <c r="M55" s="5">
        <v>0</v>
      </c>
      <c r="N55" s="5">
        <v>0</v>
      </c>
      <c r="O55" s="5">
        <v>0</v>
      </c>
      <c r="P55" s="5">
        <v>0</v>
      </c>
      <c r="Q55" s="5">
        <v>0</v>
      </c>
      <c r="R55" s="5">
        <v>0</v>
      </c>
      <c r="S55" s="5">
        <v>0</v>
      </c>
      <c r="T55" s="5">
        <v>0</v>
      </c>
      <c r="U55" s="5">
        <v>0</v>
      </c>
    </row>
    <row r="56" spans="1:21">
      <c r="A56" t="s">
        <v>25</v>
      </c>
      <c r="B56" s="9"/>
      <c r="C56" s="9"/>
      <c r="D56" s="9"/>
      <c r="E56" s="9"/>
      <c r="F56" s="9"/>
      <c r="G56" s="9"/>
      <c r="H56" s="9"/>
      <c r="I56" s="9"/>
      <c r="J56" s="9"/>
      <c r="K56" s="9"/>
    </row>
    <row r="57" spans="1:21">
      <c r="A57" t="s">
        <v>85</v>
      </c>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row>
    <row r="58" spans="1:21">
      <c r="A58" t="s">
        <v>86</v>
      </c>
      <c r="B58" s="8">
        <v>0</v>
      </c>
      <c r="C58" s="8">
        <v>85000</v>
      </c>
      <c r="D58" s="8">
        <v>120000</v>
      </c>
      <c r="E58" s="8">
        <v>550000</v>
      </c>
      <c r="F58" s="8">
        <v>670000</v>
      </c>
      <c r="G58" s="8">
        <v>950000</v>
      </c>
      <c r="H58" s="8">
        <v>1050000</v>
      </c>
      <c r="I58" s="8">
        <v>1170000</v>
      </c>
      <c r="J58" s="8">
        <v>1550000</v>
      </c>
      <c r="K58" s="8">
        <v>1670000</v>
      </c>
      <c r="L58" s="8">
        <v>2500000</v>
      </c>
      <c r="M58" s="8">
        <v>2550000</v>
      </c>
      <c r="N58" s="8">
        <v>2670000</v>
      </c>
      <c r="O58" s="8">
        <v>3500000</v>
      </c>
      <c r="P58" s="8">
        <v>4285000</v>
      </c>
      <c r="Q58" s="8">
        <v>4800000</v>
      </c>
      <c r="R58" s="8">
        <v>4885000</v>
      </c>
      <c r="S58" s="8">
        <v>5300000</v>
      </c>
      <c r="T58" s="8">
        <v>5385000</v>
      </c>
      <c r="U58" s="8">
        <v>6300000</v>
      </c>
    </row>
    <row r="59" spans="1:21">
      <c r="A59" t="s">
        <v>87</v>
      </c>
      <c r="B59" s="8">
        <v>0</v>
      </c>
      <c r="C59" s="8">
        <v>85000</v>
      </c>
      <c r="D59" s="8">
        <v>120000</v>
      </c>
      <c r="E59" s="8">
        <v>550000</v>
      </c>
      <c r="F59" s="8">
        <v>670000</v>
      </c>
      <c r="G59" s="8">
        <v>950000</v>
      </c>
      <c r="H59" s="8">
        <v>1050000</v>
      </c>
      <c r="I59" s="8">
        <v>1170000</v>
      </c>
      <c r="J59" s="8">
        <v>1550000</v>
      </c>
      <c r="K59" s="8">
        <v>1670000</v>
      </c>
      <c r="L59" s="8">
        <v>2500000</v>
      </c>
      <c r="M59" s="8">
        <v>2550000</v>
      </c>
      <c r="N59" s="8">
        <v>2670000</v>
      </c>
      <c r="O59" s="8">
        <v>3500000</v>
      </c>
      <c r="P59" s="8">
        <v>4285000</v>
      </c>
      <c r="Q59" s="8">
        <v>4800000</v>
      </c>
      <c r="R59" s="8">
        <v>4885000</v>
      </c>
      <c r="S59" s="8">
        <v>5300000</v>
      </c>
      <c r="T59" s="8">
        <v>5385000</v>
      </c>
      <c r="U59" s="8">
        <v>6300000</v>
      </c>
    </row>
    <row r="60" spans="1:21">
      <c r="A60" t="s">
        <v>88</v>
      </c>
      <c r="B60" s="8"/>
      <c r="C60" s="8"/>
      <c r="D60" s="8"/>
      <c r="E60" s="8"/>
      <c r="F60" s="8"/>
      <c r="G60" s="8"/>
      <c r="H60" s="8"/>
      <c r="I60" s="8"/>
      <c r="J60" s="8"/>
      <c r="K60" s="8"/>
    </row>
    <row r="61" spans="1:21">
      <c r="A61" t="s">
        <v>89</v>
      </c>
      <c r="B61">
        <v>1278</v>
      </c>
      <c r="C61">
        <v>1278</v>
      </c>
      <c r="D61">
        <v>1278</v>
      </c>
      <c r="E61">
        <v>1278</v>
      </c>
      <c r="F61">
        <v>1278</v>
      </c>
      <c r="G61">
        <v>1278</v>
      </c>
      <c r="H61">
        <v>1278</v>
      </c>
      <c r="I61">
        <v>1278</v>
      </c>
      <c r="J61">
        <v>1278</v>
      </c>
      <c r="K61">
        <v>1278</v>
      </c>
      <c r="L61">
        <v>1278</v>
      </c>
      <c r="M61">
        <v>1278</v>
      </c>
      <c r="N61">
        <v>1278</v>
      </c>
      <c r="O61">
        <v>1278</v>
      </c>
      <c r="P61">
        <v>1278</v>
      </c>
      <c r="Q61">
        <v>1278</v>
      </c>
      <c r="R61">
        <v>1278</v>
      </c>
      <c r="S61">
        <v>1278</v>
      </c>
      <c r="T61">
        <v>1278</v>
      </c>
      <c r="U61">
        <v>1278</v>
      </c>
    </row>
    <row r="62" spans="1:21">
      <c r="A62" t="s">
        <v>96</v>
      </c>
      <c r="B62">
        <v>0</v>
      </c>
      <c r="C62">
        <v>0</v>
      </c>
      <c r="D62">
        <v>0</v>
      </c>
      <c r="E62">
        <v>100</v>
      </c>
      <c r="F62">
        <v>100</v>
      </c>
      <c r="G62">
        <v>100</v>
      </c>
      <c r="H62">
        <v>200</v>
      </c>
      <c r="I62">
        <v>200</v>
      </c>
      <c r="J62">
        <v>300</v>
      </c>
      <c r="K62">
        <v>300</v>
      </c>
      <c r="L62">
        <v>300</v>
      </c>
      <c r="M62">
        <v>500</v>
      </c>
      <c r="N62">
        <v>500</v>
      </c>
      <c r="O62">
        <v>500</v>
      </c>
      <c r="P62">
        <v>500</v>
      </c>
      <c r="Q62">
        <v>200</v>
      </c>
      <c r="R62">
        <v>200</v>
      </c>
      <c r="S62">
        <v>300</v>
      </c>
      <c r="T62">
        <v>300</v>
      </c>
      <c r="U62">
        <v>500</v>
      </c>
    </row>
    <row r="63" spans="1:21">
      <c r="A63" t="s">
        <v>97</v>
      </c>
      <c r="B63">
        <v>0</v>
      </c>
      <c r="C63">
        <v>0</v>
      </c>
      <c r="D63">
        <v>0</v>
      </c>
      <c r="E63">
        <v>0</v>
      </c>
      <c r="F63">
        <v>0</v>
      </c>
      <c r="G63">
        <v>0</v>
      </c>
      <c r="H63">
        <v>0</v>
      </c>
      <c r="I63">
        <v>0</v>
      </c>
      <c r="J63">
        <v>0</v>
      </c>
      <c r="K63">
        <v>0</v>
      </c>
      <c r="L63">
        <v>100</v>
      </c>
      <c r="M63">
        <v>0</v>
      </c>
      <c r="N63">
        <v>0</v>
      </c>
      <c r="O63">
        <v>100</v>
      </c>
      <c r="P63">
        <v>200</v>
      </c>
      <c r="Q63">
        <v>500</v>
      </c>
      <c r="R63">
        <v>500</v>
      </c>
      <c r="S63">
        <v>500</v>
      </c>
      <c r="T63">
        <v>500</v>
      </c>
      <c r="U63">
        <v>500</v>
      </c>
    </row>
    <row r="64" spans="1:21">
      <c r="A64" t="s">
        <v>90</v>
      </c>
      <c r="B64" s="9">
        <v>0.3493</v>
      </c>
      <c r="C64" s="9">
        <v>0.34939999999999999</v>
      </c>
      <c r="D64" s="9">
        <v>0.34920000000000001</v>
      </c>
      <c r="E64" s="9">
        <v>0.3407</v>
      </c>
      <c r="F64" s="9">
        <v>0.34089999999999998</v>
      </c>
      <c r="G64" s="9">
        <v>0.33610000000000001</v>
      </c>
      <c r="H64" s="9">
        <v>0.31830000000000003</v>
      </c>
      <c r="I64" s="9">
        <v>0.31909999999999999</v>
      </c>
      <c r="J64" s="9">
        <v>0.30030000000000001</v>
      </c>
      <c r="K64" s="9">
        <v>0.30070000000000002</v>
      </c>
      <c r="L64" s="9">
        <v>0.2732</v>
      </c>
      <c r="M64" s="9">
        <v>0.2782</v>
      </c>
      <c r="N64" s="9">
        <v>0.27960000000000002</v>
      </c>
      <c r="O64" s="9">
        <v>0.2535</v>
      </c>
      <c r="P64" s="9">
        <v>0.21229999999999999</v>
      </c>
      <c r="Q64" s="9">
        <v>0.1067</v>
      </c>
      <c r="R64" s="9">
        <v>0.107</v>
      </c>
      <c r="S64" s="9">
        <v>0.1018</v>
      </c>
      <c r="T64" s="9">
        <v>0.1036</v>
      </c>
      <c r="U64" s="9">
        <v>9.2999999999999999E-2</v>
      </c>
    </row>
    <row r="65" spans="1:21">
      <c r="A65" t="s">
        <v>91</v>
      </c>
      <c r="B65" s="9">
        <v>0.58540000000000003</v>
      </c>
      <c r="C65" s="9">
        <v>0.5857</v>
      </c>
      <c r="D65" s="9">
        <v>0.5857</v>
      </c>
      <c r="E65" s="9">
        <v>0.5544</v>
      </c>
      <c r="F65" s="9">
        <v>0.55530000000000002</v>
      </c>
      <c r="G65" s="9">
        <v>0.5091</v>
      </c>
      <c r="H65" s="9">
        <v>0.5111</v>
      </c>
      <c r="I65" s="9">
        <v>0.51280000000000003</v>
      </c>
      <c r="J65" s="9">
        <v>0.48449999999999999</v>
      </c>
      <c r="K65" s="9">
        <v>0.4864</v>
      </c>
      <c r="L65" s="7">
        <v>0.39179999999999998</v>
      </c>
      <c r="M65" s="9">
        <v>0.4501</v>
      </c>
      <c r="N65" s="9">
        <v>0.45229999999999998</v>
      </c>
      <c r="O65" s="9">
        <v>0.3659</v>
      </c>
      <c r="P65" s="9">
        <v>0.27060000000000001</v>
      </c>
      <c r="Q65" s="9">
        <v>0.14219999999999999</v>
      </c>
      <c r="R65" s="9">
        <v>0.14299999999999999</v>
      </c>
      <c r="S65" s="9">
        <v>0.13639999999999999</v>
      </c>
      <c r="T65" s="9">
        <v>0.13980000000000001</v>
      </c>
      <c r="U65" s="9">
        <v>0.12470000000000001</v>
      </c>
    </row>
    <row r="66" spans="1:21">
      <c r="A66" t="s">
        <v>92</v>
      </c>
      <c r="B66" s="9"/>
      <c r="C66" s="9"/>
      <c r="D66" s="9"/>
      <c r="E66" s="9"/>
      <c r="F66" s="9"/>
      <c r="G66" s="9"/>
      <c r="H66" s="9"/>
      <c r="I66" s="9"/>
      <c r="J66" s="9"/>
      <c r="K66" s="9"/>
      <c r="M66" s="9"/>
      <c r="N66" s="9"/>
    </row>
    <row r="67" spans="1:21">
      <c r="A67" t="s">
        <v>51</v>
      </c>
      <c r="B67" s="9">
        <v>0</v>
      </c>
      <c r="C67" s="9">
        <v>0</v>
      </c>
      <c r="D67" s="9">
        <v>0</v>
      </c>
      <c r="E67" s="9">
        <v>2261093.2999999998</v>
      </c>
      <c r="F67" s="9">
        <v>2261093.2999999998</v>
      </c>
      <c r="G67" s="9">
        <v>0</v>
      </c>
      <c r="H67" s="9">
        <v>4406250.63</v>
      </c>
      <c r="I67" s="9">
        <v>4406250.63</v>
      </c>
      <c r="J67" s="9">
        <v>5937439.25</v>
      </c>
      <c r="K67" s="9">
        <v>5937439.25</v>
      </c>
      <c r="L67">
        <v>5937439.25</v>
      </c>
      <c r="M67">
        <v>7750963.1500000004</v>
      </c>
      <c r="N67">
        <v>7750963.1500000004</v>
      </c>
      <c r="O67">
        <v>7750963.1500000004</v>
      </c>
      <c r="P67">
        <v>7750963.1500000004</v>
      </c>
      <c r="Q67">
        <v>4406250.63</v>
      </c>
      <c r="R67">
        <v>4406250.63</v>
      </c>
      <c r="S67">
        <v>5937439.25</v>
      </c>
      <c r="T67">
        <v>5937439.25</v>
      </c>
      <c r="U67">
        <v>7750963.1500000004</v>
      </c>
    </row>
    <row r="68" spans="1:21">
      <c r="A68" t="s">
        <v>55</v>
      </c>
      <c r="B68">
        <v>0</v>
      </c>
      <c r="C68" s="9">
        <v>0</v>
      </c>
      <c r="D68" s="9">
        <v>0</v>
      </c>
      <c r="E68" s="9">
        <v>2261093.2999999998</v>
      </c>
      <c r="F68" s="9">
        <v>2261093.2999999998</v>
      </c>
      <c r="G68" s="9">
        <v>0</v>
      </c>
      <c r="H68" s="9">
        <v>4406250.63</v>
      </c>
      <c r="I68" s="9">
        <v>4406250.63</v>
      </c>
      <c r="J68">
        <v>5937439.25</v>
      </c>
      <c r="K68" s="9">
        <v>5937439.25</v>
      </c>
      <c r="L68">
        <v>5937439.25</v>
      </c>
      <c r="M68">
        <v>7750963.1500000004</v>
      </c>
      <c r="N68">
        <v>7750963.1500000004</v>
      </c>
      <c r="O68">
        <v>7750963.1500000004</v>
      </c>
      <c r="P68">
        <v>7750963.1500000004</v>
      </c>
      <c r="Q68">
        <v>4406250.63</v>
      </c>
      <c r="R68">
        <v>4406250.63</v>
      </c>
      <c r="S68">
        <v>5937439.25</v>
      </c>
      <c r="T68">
        <v>5937439.25</v>
      </c>
      <c r="U68">
        <v>7750963.1500000004</v>
      </c>
    </row>
    <row r="69" spans="1:21">
      <c r="A69" t="s">
        <v>53</v>
      </c>
      <c r="B69" s="9">
        <v>0</v>
      </c>
      <c r="C69" s="9">
        <v>0</v>
      </c>
      <c r="D69" s="9">
        <v>0</v>
      </c>
      <c r="E69">
        <v>2261093.2999999998</v>
      </c>
      <c r="F69">
        <v>2261093.2999999998</v>
      </c>
      <c r="G69">
        <v>0</v>
      </c>
      <c r="H69">
        <v>4406250.63</v>
      </c>
      <c r="I69">
        <v>4406250.63</v>
      </c>
      <c r="J69">
        <v>5937439.25</v>
      </c>
      <c r="K69">
        <v>5937439.25</v>
      </c>
      <c r="L69">
        <v>5937439.25</v>
      </c>
      <c r="M69">
        <v>7750963.1500000004</v>
      </c>
      <c r="N69">
        <v>7750963.1500000004</v>
      </c>
      <c r="O69">
        <v>7750963.1500000004</v>
      </c>
      <c r="P69">
        <v>7750963.1500000004</v>
      </c>
      <c r="Q69">
        <v>4406250.63</v>
      </c>
      <c r="R69">
        <v>4406250.63</v>
      </c>
      <c r="S69">
        <v>5937439.25</v>
      </c>
      <c r="T69">
        <v>5937439.25</v>
      </c>
      <c r="U69">
        <v>7750963.1500000004</v>
      </c>
    </row>
    <row r="70" spans="1:21">
      <c r="A70" t="s">
        <v>65</v>
      </c>
      <c r="B70" s="9">
        <v>0</v>
      </c>
      <c r="C70" s="9">
        <v>0</v>
      </c>
      <c r="D70" s="9">
        <v>0</v>
      </c>
      <c r="E70">
        <v>2261093.2999999998</v>
      </c>
      <c r="F70">
        <v>2261093.2999999998</v>
      </c>
      <c r="G70">
        <v>0</v>
      </c>
      <c r="H70">
        <v>4406250.63</v>
      </c>
      <c r="I70">
        <v>4406250.63</v>
      </c>
      <c r="J70">
        <v>5937439.25</v>
      </c>
      <c r="K70">
        <v>5937439.25</v>
      </c>
      <c r="L70">
        <v>5937439.25</v>
      </c>
      <c r="M70">
        <v>7750963.1500000004</v>
      </c>
      <c r="N70">
        <v>7750963.1500000004</v>
      </c>
      <c r="O70">
        <v>7750963.1500000004</v>
      </c>
      <c r="P70">
        <v>7750963.1500000004</v>
      </c>
      <c r="Q70">
        <v>4406250.63</v>
      </c>
      <c r="R70">
        <v>4406250.63</v>
      </c>
      <c r="S70">
        <v>5937439.25</v>
      </c>
      <c r="T70">
        <v>5937439.25</v>
      </c>
      <c r="U70">
        <v>7750963.1500000004</v>
      </c>
    </row>
    <row r="71" spans="1:21">
      <c r="A71" t="s">
        <v>93</v>
      </c>
      <c r="B71" s="9"/>
    </row>
    <row r="72" spans="1:21">
      <c r="A72" t="s">
        <v>51</v>
      </c>
      <c r="B72" s="9">
        <v>0</v>
      </c>
      <c r="C72">
        <v>0</v>
      </c>
      <c r="D72">
        <v>0</v>
      </c>
      <c r="E72">
        <v>0</v>
      </c>
      <c r="F72">
        <v>0</v>
      </c>
      <c r="G72">
        <v>0</v>
      </c>
      <c r="H72">
        <v>115935.97</v>
      </c>
      <c r="I72">
        <v>115935.97</v>
      </c>
      <c r="J72">
        <v>845840.65</v>
      </c>
      <c r="K72">
        <v>845840.65</v>
      </c>
      <c r="L72">
        <v>845840.65</v>
      </c>
      <c r="M72">
        <v>3554503.35</v>
      </c>
      <c r="N72">
        <v>3554503.35</v>
      </c>
      <c r="O72">
        <v>3554503.35</v>
      </c>
      <c r="P72">
        <v>3554503.35</v>
      </c>
      <c r="Q72">
        <v>115935.97</v>
      </c>
      <c r="R72">
        <v>115935.97</v>
      </c>
      <c r="S72">
        <v>845840.65</v>
      </c>
      <c r="T72">
        <v>845840.65</v>
      </c>
      <c r="U72">
        <v>3554503.35</v>
      </c>
    </row>
    <row r="73" spans="1:21">
      <c r="A73" t="s">
        <v>55</v>
      </c>
      <c r="B73">
        <v>0</v>
      </c>
      <c r="C73">
        <v>0</v>
      </c>
      <c r="D73">
        <v>0</v>
      </c>
      <c r="E73">
        <v>0</v>
      </c>
      <c r="F73">
        <v>0</v>
      </c>
      <c r="G73">
        <v>0</v>
      </c>
      <c r="H73">
        <v>115935.97</v>
      </c>
      <c r="I73">
        <v>115935.97</v>
      </c>
      <c r="J73">
        <v>845840.65</v>
      </c>
      <c r="K73">
        <v>845840.65</v>
      </c>
      <c r="L73">
        <v>845840.65</v>
      </c>
      <c r="M73">
        <v>3554503.35</v>
      </c>
      <c r="N73">
        <v>3554503.35</v>
      </c>
      <c r="O73">
        <v>3554503.35</v>
      </c>
      <c r="P73">
        <v>3554503.35</v>
      </c>
      <c r="Q73">
        <v>115935.97</v>
      </c>
      <c r="R73">
        <v>115935.97</v>
      </c>
      <c r="S73">
        <v>845840.65</v>
      </c>
      <c r="T73">
        <v>845840.65</v>
      </c>
      <c r="U73">
        <v>3554503.35</v>
      </c>
    </row>
    <row r="74" spans="1:21">
      <c r="A74" t="s">
        <v>53</v>
      </c>
      <c r="B74">
        <v>0</v>
      </c>
      <c r="C74">
        <v>0</v>
      </c>
      <c r="D74">
        <v>0</v>
      </c>
      <c r="E74">
        <v>0</v>
      </c>
      <c r="F74">
        <v>0</v>
      </c>
      <c r="G74">
        <v>0</v>
      </c>
      <c r="H74">
        <v>115935.97</v>
      </c>
      <c r="I74">
        <v>115935.97</v>
      </c>
      <c r="J74">
        <v>845840.65</v>
      </c>
      <c r="K74">
        <v>845840.65</v>
      </c>
      <c r="L74">
        <v>845840.65</v>
      </c>
      <c r="M74">
        <v>3554503.35</v>
      </c>
      <c r="N74">
        <v>3554503.35</v>
      </c>
      <c r="O74">
        <v>3554503.35</v>
      </c>
      <c r="P74">
        <v>3554503.35</v>
      </c>
      <c r="Q74">
        <v>115935.97</v>
      </c>
      <c r="R74">
        <v>115935.97</v>
      </c>
      <c r="S74">
        <v>845840.65</v>
      </c>
      <c r="T74">
        <v>845840.65</v>
      </c>
      <c r="U74">
        <v>3554503.35</v>
      </c>
    </row>
    <row r="75" spans="1:21">
      <c r="A75" t="s">
        <v>65</v>
      </c>
      <c r="B75">
        <v>0</v>
      </c>
      <c r="C75">
        <v>0</v>
      </c>
      <c r="D75">
        <v>0</v>
      </c>
      <c r="E75">
        <v>0</v>
      </c>
      <c r="F75">
        <v>0</v>
      </c>
      <c r="G75">
        <v>0</v>
      </c>
      <c r="H75">
        <v>115935.97</v>
      </c>
      <c r="I75">
        <v>115935.97</v>
      </c>
      <c r="J75">
        <v>845840.65</v>
      </c>
      <c r="K75">
        <v>845840.65</v>
      </c>
      <c r="L75">
        <v>845840.65</v>
      </c>
      <c r="M75">
        <v>3554503.35</v>
      </c>
      <c r="N75">
        <v>3554503.35</v>
      </c>
      <c r="O75">
        <v>3554503.35</v>
      </c>
      <c r="P75">
        <v>3554503.35</v>
      </c>
      <c r="Q75">
        <v>115935.97</v>
      </c>
      <c r="R75">
        <v>115935.97</v>
      </c>
      <c r="S75">
        <v>845840.65</v>
      </c>
      <c r="T75">
        <v>845840.65</v>
      </c>
      <c r="U75">
        <v>3554503.35</v>
      </c>
    </row>
    <row r="76" spans="1:21">
      <c r="A76" t="s">
        <v>94</v>
      </c>
    </row>
    <row r="77" spans="1:21">
      <c r="A77" t="s">
        <v>51</v>
      </c>
      <c r="B77">
        <v>0</v>
      </c>
      <c r="C77">
        <v>0</v>
      </c>
      <c r="D77">
        <v>0</v>
      </c>
      <c r="E77">
        <v>0</v>
      </c>
      <c r="F77">
        <v>0</v>
      </c>
      <c r="G77">
        <v>6918540.8700000001</v>
      </c>
      <c r="H77">
        <v>0</v>
      </c>
      <c r="I77">
        <v>0</v>
      </c>
      <c r="J77">
        <v>0</v>
      </c>
      <c r="K77">
        <v>0</v>
      </c>
      <c r="L77">
        <v>6255250.5099999998</v>
      </c>
      <c r="M77">
        <v>0</v>
      </c>
      <c r="N77">
        <v>0</v>
      </c>
      <c r="O77">
        <v>5701305.5899999999</v>
      </c>
      <c r="P77">
        <v>11030118.449999999</v>
      </c>
      <c r="Q77">
        <v>22865314.68</v>
      </c>
      <c r="R77">
        <v>22804022.859999999</v>
      </c>
      <c r="S77">
        <v>21689240.399999999</v>
      </c>
      <c r="T77">
        <v>21452931.030000001</v>
      </c>
      <c r="U77">
        <v>20588907.149999999</v>
      </c>
    </row>
    <row r="78" spans="1:21">
      <c r="A78" t="s">
        <v>55</v>
      </c>
      <c r="B78">
        <v>0</v>
      </c>
      <c r="C78">
        <v>0</v>
      </c>
      <c r="D78">
        <v>0</v>
      </c>
      <c r="E78">
        <v>0</v>
      </c>
      <c r="F78">
        <v>0</v>
      </c>
      <c r="G78">
        <v>6918540.8700000001</v>
      </c>
      <c r="H78">
        <v>0</v>
      </c>
      <c r="I78">
        <v>0</v>
      </c>
      <c r="J78">
        <v>0</v>
      </c>
      <c r="K78">
        <v>0</v>
      </c>
      <c r="L78">
        <v>6255250.5099999998</v>
      </c>
      <c r="M78">
        <v>0</v>
      </c>
      <c r="N78">
        <v>0</v>
      </c>
      <c r="O78">
        <v>5701305.5899999999</v>
      </c>
      <c r="P78">
        <v>11030118.449999999</v>
      </c>
      <c r="Q78">
        <v>22865314.68</v>
      </c>
      <c r="R78">
        <v>22804022.859999999</v>
      </c>
      <c r="S78">
        <v>21689240.399999999</v>
      </c>
      <c r="T78">
        <v>21452931.030000001</v>
      </c>
      <c r="U78">
        <v>20588907.149999999</v>
      </c>
    </row>
    <row r="79" spans="1:21">
      <c r="A79" t="s">
        <v>53</v>
      </c>
      <c r="B79">
        <v>0</v>
      </c>
      <c r="C79">
        <v>0</v>
      </c>
      <c r="D79">
        <v>0</v>
      </c>
      <c r="E79">
        <v>0</v>
      </c>
      <c r="F79">
        <v>0</v>
      </c>
      <c r="G79">
        <v>6918540.8700000001</v>
      </c>
      <c r="H79">
        <v>0</v>
      </c>
      <c r="I79">
        <v>0</v>
      </c>
      <c r="J79">
        <v>0</v>
      </c>
      <c r="K79">
        <v>0</v>
      </c>
      <c r="L79">
        <v>6255250.5099999998</v>
      </c>
      <c r="M79">
        <v>0</v>
      </c>
      <c r="N79">
        <v>0</v>
      </c>
      <c r="O79">
        <v>5701305.5899999999</v>
      </c>
      <c r="P79">
        <v>11030118.449999999</v>
      </c>
      <c r="Q79">
        <v>22865314.68</v>
      </c>
      <c r="R79">
        <v>22804022.859999999</v>
      </c>
      <c r="S79">
        <v>21689240.399999999</v>
      </c>
      <c r="T79">
        <v>21452931.030000001</v>
      </c>
      <c r="U79">
        <v>20588907.149999999</v>
      </c>
    </row>
    <row r="80" spans="1:21">
      <c r="A80" t="s">
        <v>65</v>
      </c>
      <c r="B80">
        <v>0</v>
      </c>
      <c r="C80">
        <v>0</v>
      </c>
      <c r="D80">
        <v>0</v>
      </c>
      <c r="E80">
        <v>0</v>
      </c>
      <c r="F80">
        <v>0</v>
      </c>
      <c r="G80">
        <v>6918540.8700000001</v>
      </c>
      <c r="H80">
        <v>0</v>
      </c>
      <c r="I80">
        <v>0</v>
      </c>
      <c r="J80">
        <v>0</v>
      </c>
      <c r="K80">
        <v>0</v>
      </c>
      <c r="L80">
        <v>6255250.5099999998</v>
      </c>
      <c r="M80">
        <v>0</v>
      </c>
      <c r="N80">
        <v>0</v>
      </c>
      <c r="O80">
        <v>5701305.5899999999</v>
      </c>
      <c r="P80">
        <v>11030118.449999999</v>
      </c>
      <c r="Q80">
        <v>22865314.68</v>
      </c>
      <c r="R80">
        <v>22804022.859999999</v>
      </c>
      <c r="S80">
        <v>21689240.399999999</v>
      </c>
      <c r="T80">
        <v>21452931.030000001</v>
      </c>
      <c r="U80">
        <v>20588907.149999999</v>
      </c>
    </row>
    <row r="81" spans="1:21">
      <c r="A81" t="s">
        <v>95</v>
      </c>
    </row>
    <row r="82" spans="1:21">
      <c r="A82" t="s">
        <v>51</v>
      </c>
      <c r="B82">
        <v>0</v>
      </c>
      <c r="C82">
        <v>0</v>
      </c>
      <c r="D82">
        <v>0</v>
      </c>
      <c r="E82">
        <v>0</v>
      </c>
      <c r="F82">
        <v>0</v>
      </c>
      <c r="G82">
        <v>633.75</v>
      </c>
      <c r="H82">
        <v>0</v>
      </c>
      <c r="I82">
        <v>0</v>
      </c>
      <c r="J82">
        <v>0</v>
      </c>
      <c r="K82">
        <v>0</v>
      </c>
      <c r="L82">
        <v>634028.31000000006</v>
      </c>
      <c r="M82">
        <v>0</v>
      </c>
      <c r="N82">
        <v>0</v>
      </c>
      <c r="O82">
        <v>1038920.64</v>
      </c>
      <c r="P82">
        <v>2504489.2599999998</v>
      </c>
      <c r="Q82">
        <v>11655421.220000001</v>
      </c>
      <c r="R82">
        <v>11666943.5</v>
      </c>
      <c r="S82">
        <v>12758212.140000001</v>
      </c>
      <c r="T82">
        <v>12682529.390000001</v>
      </c>
      <c r="U82">
        <v>14178125.789999999</v>
      </c>
    </row>
    <row r="83" spans="1:21">
      <c r="A83" t="s">
        <v>55</v>
      </c>
      <c r="B83">
        <v>0</v>
      </c>
      <c r="C83">
        <v>0</v>
      </c>
      <c r="D83">
        <v>0</v>
      </c>
      <c r="E83">
        <v>0</v>
      </c>
      <c r="F83">
        <v>0</v>
      </c>
      <c r="G83">
        <v>633.75</v>
      </c>
      <c r="H83">
        <v>0</v>
      </c>
      <c r="I83">
        <v>0</v>
      </c>
      <c r="J83">
        <v>0</v>
      </c>
      <c r="K83">
        <v>0</v>
      </c>
      <c r="L83">
        <v>634028.31000000006</v>
      </c>
      <c r="M83">
        <v>0</v>
      </c>
      <c r="N83">
        <v>0</v>
      </c>
      <c r="O83">
        <v>1038920.64</v>
      </c>
      <c r="P83">
        <v>2504489.2599999998</v>
      </c>
      <c r="Q83">
        <v>11655421.220000001</v>
      </c>
      <c r="R83">
        <v>11666943.5</v>
      </c>
      <c r="S83">
        <v>12758212.140000001</v>
      </c>
      <c r="T83">
        <v>12682529.390000001</v>
      </c>
      <c r="U83">
        <v>14178125.789999999</v>
      </c>
    </row>
    <row r="84" spans="1:21">
      <c r="A84" t="s">
        <v>53</v>
      </c>
      <c r="B84">
        <v>0</v>
      </c>
      <c r="C84">
        <v>0</v>
      </c>
      <c r="D84">
        <v>0</v>
      </c>
      <c r="E84">
        <v>0</v>
      </c>
      <c r="F84">
        <v>0</v>
      </c>
      <c r="G84">
        <v>633.75</v>
      </c>
      <c r="H84">
        <v>0</v>
      </c>
      <c r="I84">
        <v>0</v>
      </c>
      <c r="J84">
        <v>0</v>
      </c>
      <c r="K84">
        <v>0</v>
      </c>
      <c r="L84">
        <v>634028.31000000006</v>
      </c>
      <c r="M84">
        <v>0</v>
      </c>
      <c r="N84">
        <v>0</v>
      </c>
      <c r="O84">
        <v>1038920.64</v>
      </c>
      <c r="P84">
        <v>2504489.2599999998</v>
      </c>
      <c r="Q84">
        <v>11655421.220000001</v>
      </c>
      <c r="R84">
        <v>11666943.5</v>
      </c>
      <c r="S84">
        <v>12758212.140000001</v>
      </c>
      <c r="T84">
        <v>12682529.390000001</v>
      </c>
      <c r="U84">
        <v>14178125.789999999</v>
      </c>
    </row>
    <row r="85" spans="1:21">
      <c r="A85" t="s">
        <v>65</v>
      </c>
      <c r="B85">
        <v>0</v>
      </c>
      <c r="C85">
        <v>0</v>
      </c>
      <c r="D85">
        <v>0</v>
      </c>
      <c r="E85">
        <v>0</v>
      </c>
      <c r="F85">
        <v>0</v>
      </c>
      <c r="G85">
        <v>633.75</v>
      </c>
      <c r="H85">
        <v>0</v>
      </c>
      <c r="I85">
        <v>0</v>
      </c>
      <c r="J85">
        <v>0</v>
      </c>
      <c r="K85">
        <v>0</v>
      </c>
      <c r="L85">
        <v>634028.31000000006</v>
      </c>
      <c r="M85">
        <v>0</v>
      </c>
      <c r="N85">
        <v>0</v>
      </c>
      <c r="O85">
        <v>1038920.64</v>
      </c>
      <c r="P85">
        <v>2504489.2599999998</v>
      </c>
      <c r="Q85">
        <v>11655421.220000001</v>
      </c>
      <c r="R85">
        <v>11666943.5</v>
      </c>
      <c r="S85">
        <v>12758212.140000001</v>
      </c>
      <c r="T85">
        <v>12682529.390000001</v>
      </c>
      <c r="U85">
        <v>14178125.789999999</v>
      </c>
    </row>
    <row r="86" spans="1:21">
      <c r="A86" t="s">
        <v>109</v>
      </c>
    </row>
    <row r="87" spans="1:21">
      <c r="A87" t="s">
        <v>110</v>
      </c>
      <c r="B87">
        <v>0</v>
      </c>
      <c r="C87">
        <v>0</v>
      </c>
      <c r="D87">
        <v>0</v>
      </c>
      <c r="E87">
        <v>0</v>
      </c>
      <c r="F87">
        <v>0</v>
      </c>
      <c r="G87">
        <v>0</v>
      </c>
      <c r="H87">
        <v>0</v>
      </c>
      <c r="I87">
        <v>0</v>
      </c>
      <c r="J87">
        <v>0</v>
      </c>
      <c r="K87">
        <v>0</v>
      </c>
      <c r="L87">
        <v>0</v>
      </c>
      <c r="M87">
        <v>0</v>
      </c>
      <c r="N87">
        <v>0</v>
      </c>
      <c r="O87">
        <v>0</v>
      </c>
      <c r="P87">
        <v>0</v>
      </c>
      <c r="Q87">
        <v>0</v>
      </c>
      <c r="R87">
        <v>0</v>
      </c>
      <c r="S87">
        <v>0</v>
      </c>
      <c r="T87">
        <v>0</v>
      </c>
      <c r="U87">
        <v>0</v>
      </c>
    </row>
    <row r="88" spans="1:21">
      <c r="A88" t="s">
        <v>112</v>
      </c>
      <c r="B88">
        <v>0</v>
      </c>
      <c r="C88">
        <v>0</v>
      </c>
      <c r="D88">
        <v>0</v>
      </c>
      <c r="E88">
        <v>0</v>
      </c>
      <c r="F88">
        <v>0</v>
      </c>
      <c r="G88">
        <v>0</v>
      </c>
      <c r="H88">
        <v>0</v>
      </c>
      <c r="I88">
        <v>0</v>
      </c>
      <c r="J88">
        <v>0</v>
      </c>
      <c r="K88">
        <v>0</v>
      </c>
      <c r="L88">
        <v>0</v>
      </c>
      <c r="M88">
        <v>0</v>
      </c>
      <c r="N88">
        <v>0</v>
      </c>
      <c r="O88">
        <v>0</v>
      </c>
      <c r="P88">
        <v>0</v>
      </c>
      <c r="Q88">
        <v>0</v>
      </c>
      <c r="R88">
        <v>0</v>
      </c>
      <c r="S88">
        <v>0</v>
      </c>
      <c r="T88">
        <v>0</v>
      </c>
      <c r="U88">
        <v>0</v>
      </c>
    </row>
    <row r="89" spans="1:21">
      <c r="A89" t="s">
        <v>113</v>
      </c>
      <c r="B89">
        <v>0</v>
      </c>
      <c r="C89">
        <v>0</v>
      </c>
      <c r="D89">
        <v>0</v>
      </c>
      <c r="E89">
        <v>0</v>
      </c>
      <c r="F89">
        <v>0</v>
      </c>
      <c r="G89">
        <v>0</v>
      </c>
      <c r="H89">
        <v>0</v>
      </c>
      <c r="I89">
        <v>0</v>
      </c>
      <c r="J89">
        <v>0</v>
      </c>
      <c r="K89">
        <v>0</v>
      </c>
      <c r="L89">
        <v>0</v>
      </c>
      <c r="M89">
        <v>0</v>
      </c>
      <c r="N89">
        <v>0</v>
      </c>
      <c r="O89">
        <v>0</v>
      </c>
      <c r="P89">
        <v>0</v>
      </c>
      <c r="Q89">
        <v>0</v>
      </c>
      <c r="R89">
        <v>0</v>
      </c>
      <c r="S89">
        <v>0</v>
      </c>
      <c r="T89">
        <v>0</v>
      </c>
      <c r="U89">
        <v>0</v>
      </c>
    </row>
    <row r="90" spans="1:21">
      <c r="A90" t="s">
        <v>114</v>
      </c>
    </row>
    <row r="91" spans="1:21">
      <c r="A91" t="s">
        <v>115</v>
      </c>
      <c r="B91">
        <v>0</v>
      </c>
      <c r="C91">
        <v>0</v>
      </c>
      <c r="D91">
        <v>0</v>
      </c>
      <c r="E91">
        <v>0</v>
      </c>
      <c r="F91">
        <v>0</v>
      </c>
      <c r="G91">
        <v>0</v>
      </c>
      <c r="H91">
        <v>0</v>
      </c>
      <c r="I91">
        <v>0</v>
      </c>
      <c r="J91">
        <v>0</v>
      </c>
      <c r="K91">
        <v>0</v>
      </c>
      <c r="L91">
        <v>0</v>
      </c>
      <c r="M91">
        <v>0</v>
      </c>
      <c r="N91">
        <v>0</v>
      </c>
      <c r="O91">
        <v>0</v>
      </c>
      <c r="P91">
        <v>0</v>
      </c>
      <c r="Q91">
        <v>0</v>
      </c>
      <c r="R91">
        <v>0</v>
      </c>
      <c r="S91">
        <v>0</v>
      </c>
      <c r="T91">
        <v>0</v>
      </c>
      <c r="U91">
        <v>0</v>
      </c>
    </row>
    <row r="92" spans="1:21">
      <c r="A92" t="s">
        <v>117</v>
      </c>
      <c r="B92">
        <v>0</v>
      </c>
      <c r="C92">
        <v>0</v>
      </c>
      <c r="D92">
        <v>0</v>
      </c>
      <c r="E92">
        <v>0</v>
      </c>
      <c r="F92">
        <v>0</v>
      </c>
      <c r="G92">
        <v>0</v>
      </c>
      <c r="H92">
        <v>0</v>
      </c>
      <c r="I92">
        <v>0</v>
      </c>
      <c r="J92">
        <v>0</v>
      </c>
      <c r="K92">
        <v>0</v>
      </c>
      <c r="L92">
        <v>0</v>
      </c>
      <c r="M92">
        <v>0</v>
      </c>
      <c r="N92">
        <v>0</v>
      </c>
      <c r="O92">
        <v>0</v>
      </c>
      <c r="P92">
        <v>0</v>
      </c>
      <c r="Q92">
        <v>0</v>
      </c>
      <c r="R92">
        <v>0</v>
      </c>
      <c r="S92">
        <v>0</v>
      </c>
      <c r="T92">
        <v>0</v>
      </c>
      <c r="U92">
        <v>0</v>
      </c>
    </row>
    <row r="93" spans="1:21">
      <c r="A93" t="s">
        <v>118</v>
      </c>
      <c r="B93">
        <v>0</v>
      </c>
      <c r="C93">
        <v>0</v>
      </c>
      <c r="D93">
        <v>0</v>
      </c>
      <c r="E93">
        <v>0</v>
      </c>
      <c r="F93">
        <v>0</v>
      </c>
      <c r="G93">
        <v>0</v>
      </c>
      <c r="H93">
        <v>0</v>
      </c>
      <c r="I93">
        <v>0</v>
      </c>
      <c r="J93">
        <v>0</v>
      </c>
      <c r="K93">
        <v>0</v>
      </c>
      <c r="L93">
        <v>0</v>
      </c>
      <c r="M93">
        <v>0</v>
      </c>
      <c r="N93">
        <v>0</v>
      </c>
      <c r="O93">
        <v>0</v>
      </c>
      <c r="P93">
        <v>0</v>
      </c>
      <c r="Q93">
        <v>0</v>
      </c>
      <c r="R93">
        <v>0</v>
      </c>
      <c r="S93">
        <v>0</v>
      </c>
      <c r="T93">
        <v>0</v>
      </c>
      <c r="U93">
        <v>0</v>
      </c>
    </row>
    <row r="94" spans="1:21">
      <c r="A94" s="14" t="s">
        <v>50</v>
      </c>
      <c r="B94">
        <v>0</v>
      </c>
      <c r="C94">
        <v>0</v>
      </c>
      <c r="D94">
        <v>0</v>
      </c>
      <c r="E94">
        <v>0</v>
      </c>
      <c r="F94">
        <v>0</v>
      </c>
      <c r="G94">
        <v>0</v>
      </c>
      <c r="H94">
        <v>0</v>
      </c>
      <c r="I94">
        <v>0</v>
      </c>
      <c r="J94">
        <v>0</v>
      </c>
      <c r="K94">
        <v>0</v>
      </c>
      <c r="L94">
        <v>0</v>
      </c>
      <c r="M94">
        <v>0</v>
      </c>
      <c r="N94">
        <v>0</v>
      </c>
      <c r="O94">
        <v>0</v>
      </c>
      <c r="P94">
        <v>0</v>
      </c>
      <c r="Q94">
        <v>0</v>
      </c>
      <c r="R94">
        <v>0</v>
      </c>
      <c r="S94">
        <v>0</v>
      </c>
      <c r="T94">
        <v>0</v>
      </c>
      <c r="U94">
        <v>0</v>
      </c>
    </row>
    <row r="95" spans="1:21">
      <c r="A95" t="s">
        <v>119</v>
      </c>
      <c r="B95">
        <v>0</v>
      </c>
      <c r="C95">
        <v>0</v>
      </c>
      <c r="D95">
        <v>0</v>
      </c>
      <c r="E95">
        <v>0</v>
      </c>
      <c r="F95">
        <v>0</v>
      </c>
      <c r="G95">
        <v>0</v>
      </c>
      <c r="H95">
        <v>0</v>
      </c>
      <c r="I95">
        <v>0</v>
      </c>
      <c r="J95">
        <v>0</v>
      </c>
      <c r="K95">
        <v>0</v>
      </c>
      <c r="L95">
        <v>0</v>
      </c>
      <c r="M95">
        <v>0</v>
      </c>
      <c r="N95">
        <v>0</v>
      </c>
      <c r="O95">
        <v>0</v>
      </c>
      <c r="P95">
        <v>0</v>
      </c>
      <c r="Q95">
        <v>0</v>
      </c>
      <c r="R95">
        <v>0</v>
      </c>
      <c r="S95">
        <v>0</v>
      </c>
      <c r="T95">
        <v>0</v>
      </c>
      <c r="U95">
        <v>0</v>
      </c>
    </row>
    <row r="96" spans="1:21">
      <c r="A96" t="s">
        <v>51</v>
      </c>
      <c r="B96">
        <v>0.54</v>
      </c>
      <c r="C96">
        <v>0.54</v>
      </c>
      <c r="D96">
        <v>0.54</v>
      </c>
      <c r="E96">
        <v>0.54</v>
      </c>
      <c r="F96">
        <v>0.54</v>
      </c>
      <c r="G96">
        <v>0.54</v>
      </c>
      <c r="H96">
        <v>0.54</v>
      </c>
      <c r="I96">
        <v>0.54</v>
      </c>
      <c r="J96">
        <v>0.54</v>
      </c>
      <c r="K96">
        <v>0.54</v>
      </c>
      <c r="L96">
        <v>0.54</v>
      </c>
      <c r="M96">
        <v>0.54</v>
      </c>
      <c r="N96">
        <v>0.54</v>
      </c>
      <c r="O96">
        <v>0.54</v>
      </c>
      <c r="P96">
        <v>0.54</v>
      </c>
      <c r="Q96">
        <v>0.54</v>
      </c>
      <c r="R96">
        <v>0.54</v>
      </c>
      <c r="S96">
        <v>0.54</v>
      </c>
      <c r="T96">
        <v>0.54</v>
      </c>
      <c r="U96">
        <v>0.54</v>
      </c>
    </row>
    <row r="97" spans="1:21">
      <c r="A97" t="s">
        <v>53</v>
      </c>
      <c r="B97">
        <v>169.53</v>
      </c>
      <c r="C97">
        <v>169.53</v>
      </c>
      <c r="D97">
        <v>169.53</v>
      </c>
      <c r="E97">
        <v>169.53</v>
      </c>
      <c r="F97">
        <v>169.53</v>
      </c>
      <c r="G97">
        <v>169.53</v>
      </c>
      <c r="H97">
        <v>169.53</v>
      </c>
      <c r="I97">
        <v>169.53</v>
      </c>
      <c r="J97">
        <v>169.53</v>
      </c>
      <c r="K97">
        <v>169.53</v>
      </c>
      <c r="L97">
        <v>169.53</v>
      </c>
      <c r="M97">
        <v>169.53</v>
      </c>
      <c r="N97">
        <v>169.53</v>
      </c>
      <c r="O97">
        <v>169.53</v>
      </c>
      <c r="P97">
        <v>169.53</v>
      </c>
      <c r="Q97">
        <v>169.53</v>
      </c>
      <c r="R97">
        <v>169.53</v>
      </c>
      <c r="S97">
        <v>169.53</v>
      </c>
      <c r="T97">
        <v>169.53</v>
      </c>
      <c r="U97">
        <v>169.53</v>
      </c>
    </row>
    <row r="98" spans="1:21">
      <c r="A98" t="s">
        <v>55</v>
      </c>
      <c r="B98">
        <v>339.54</v>
      </c>
      <c r="C98">
        <v>339.54</v>
      </c>
      <c r="D98">
        <v>339.54</v>
      </c>
      <c r="E98">
        <v>339.54</v>
      </c>
      <c r="F98">
        <v>339.54</v>
      </c>
      <c r="G98">
        <v>339.54</v>
      </c>
      <c r="H98">
        <v>339.54</v>
      </c>
      <c r="I98">
        <v>339.54</v>
      </c>
      <c r="J98">
        <v>339.54</v>
      </c>
      <c r="K98">
        <v>339.54</v>
      </c>
      <c r="L98">
        <v>339.54</v>
      </c>
      <c r="M98">
        <v>339.54</v>
      </c>
      <c r="N98">
        <v>339.54</v>
      </c>
      <c r="O98">
        <v>339.54</v>
      </c>
      <c r="P98">
        <v>339.54</v>
      </c>
      <c r="Q98">
        <v>339.54</v>
      </c>
      <c r="R98">
        <v>339.54</v>
      </c>
      <c r="S98">
        <v>339.54</v>
      </c>
      <c r="T98">
        <v>339.54</v>
      </c>
      <c r="U98">
        <v>339.54</v>
      </c>
    </row>
    <row r="99" spans="1:21">
      <c r="A99" t="s">
        <v>123</v>
      </c>
    </row>
    <row r="100" spans="1:21">
      <c r="A100" t="s">
        <v>125</v>
      </c>
    </row>
    <row r="101" spans="1:21">
      <c r="A101" t="s">
        <v>124</v>
      </c>
    </row>
    <row r="102" spans="1:21">
      <c r="A102" t="s">
        <v>30</v>
      </c>
    </row>
    <row r="103" spans="1:21">
      <c r="A103" t="s">
        <v>67</v>
      </c>
      <c r="B103" s="9">
        <v>0.99999932999999996</v>
      </c>
      <c r="C103" s="9">
        <v>0.99999879000000003</v>
      </c>
      <c r="D103" s="9">
        <v>0.99999934999999995</v>
      </c>
      <c r="E103" s="9">
        <v>0.99999888999999997</v>
      </c>
      <c r="F103" s="9">
        <v>0.99999941000000003</v>
      </c>
      <c r="G103" s="9">
        <v>0.99999872000000001</v>
      </c>
      <c r="H103" s="9">
        <v>0.99999905</v>
      </c>
      <c r="I103" s="9">
        <v>0.99999943999999996</v>
      </c>
      <c r="J103" s="9">
        <v>0.99999934000000001</v>
      </c>
      <c r="K103" s="9">
        <v>0.99999956000000001</v>
      </c>
      <c r="L103" s="9">
        <v>0.99999901000000002</v>
      </c>
      <c r="M103" s="9">
        <v>0.99999912999999996</v>
      </c>
      <c r="N103" s="9">
        <v>0.99999928000000005</v>
      </c>
      <c r="O103" s="9">
        <v>0.99999879999999997</v>
      </c>
      <c r="P103" s="9">
        <v>0.99999963000000003</v>
      </c>
      <c r="Q103" s="9">
        <v>0.99999945000000001</v>
      </c>
      <c r="R103" s="9">
        <v>0.99999967999999995</v>
      </c>
      <c r="S103" s="9">
        <v>0.99999934999999995</v>
      </c>
      <c r="T103" s="9">
        <v>0.99999972000000004</v>
      </c>
      <c r="U103" s="9">
        <v>0.99999954999999996</v>
      </c>
    </row>
    <row r="104" spans="1:21">
      <c r="A104" t="s">
        <v>68</v>
      </c>
      <c r="B104" s="7">
        <v>1</v>
      </c>
      <c r="C104" s="7">
        <v>1</v>
      </c>
      <c r="D104" s="7">
        <v>1</v>
      </c>
      <c r="E104" s="9">
        <v>1</v>
      </c>
      <c r="F104" s="9">
        <v>1</v>
      </c>
      <c r="G104" s="9">
        <v>1</v>
      </c>
      <c r="H104" s="9">
        <v>1</v>
      </c>
      <c r="I104" s="9">
        <v>1</v>
      </c>
      <c r="J104" s="9">
        <v>1</v>
      </c>
      <c r="K104" s="9">
        <v>1</v>
      </c>
      <c r="L104" s="7">
        <v>1</v>
      </c>
      <c r="M104" s="9">
        <v>1</v>
      </c>
      <c r="N104" s="9">
        <v>1</v>
      </c>
      <c r="O104" s="7">
        <v>1</v>
      </c>
      <c r="P104" s="7">
        <v>1</v>
      </c>
      <c r="Q104" s="7">
        <v>1</v>
      </c>
      <c r="R104" s="7">
        <v>1</v>
      </c>
      <c r="S104" s="7">
        <v>1</v>
      </c>
      <c r="T104" s="7">
        <v>1</v>
      </c>
      <c r="U104" s="7">
        <v>1</v>
      </c>
    </row>
    <row r="105" spans="1:21">
      <c r="A105" t="s">
        <v>69</v>
      </c>
      <c r="B105" s="9">
        <v>37127917.210000001</v>
      </c>
      <c r="C105" s="9">
        <v>37127897.07</v>
      </c>
      <c r="D105" s="9">
        <v>37127918.149999999</v>
      </c>
      <c r="E105" s="7">
        <v>37127900.880000003</v>
      </c>
      <c r="F105" s="7">
        <v>37127920.229999997</v>
      </c>
      <c r="G105" s="9">
        <v>37127894.600000001</v>
      </c>
      <c r="H105" s="7">
        <v>37127907.049999997</v>
      </c>
      <c r="I105" s="9">
        <v>37127921.25</v>
      </c>
      <c r="J105" s="9">
        <v>37127917.5</v>
      </c>
      <c r="K105" s="9">
        <v>37127925.740000002</v>
      </c>
      <c r="L105">
        <v>37127905.549999997</v>
      </c>
      <c r="M105" s="7">
        <v>37127910</v>
      </c>
      <c r="N105" s="7">
        <v>37127915.600000001</v>
      </c>
      <c r="O105">
        <v>37127897.729999997</v>
      </c>
      <c r="P105">
        <v>37127928.390000001</v>
      </c>
      <c r="Q105">
        <v>37127921.789999999</v>
      </c>
      <c r="R105">
        <v>37127930.43</v>
      </c>
      <c r="S105">
        <v>37127918.119999997</v>
      </c>
      <c r="T105">
        <v>37127931.909999996</v>
      </c>
      <c r="U105">
        <v>37127925.57</v>
      </c>
    </row>
    <row r="106" spans="1:21">
      <c r="A106" t="s">
        <v>71</v>
      </c>
      <c r="B106" s="7">
        <v>24.98</v>
      </c>
      <c r="C106" s="7">
        <v>45.11</v>
      </c>
      <c r="D106" s="7">
        <v>24.04</v>
      </c>
      <c r="E106" s="9">
        <v>41.3</v>
      </c>
      <c r="F106" s="9">
        <v>21.95</v>
      </c>
      <c r="G106" s="9">
        <v>47.59</v>
      </c>
      <c r="H106" s="9">
        <v>35.130000000000003</v>
      </c>
      <c r="I106" s="9">
        <v>20.93</v>
      </c>
      <c r="J106" s="7">
        <v>24.68</v>
      </c>
      <c r="K106" s="9">
        <v>16.440000000000001</v>
      </c>
      <c r="L106">
        <v>36.630000000000003</v>
      </c>
      <c r="M106">
        <v>32.18</v>
      </c>
      <c r="N106">
        <v>26.59</v>
      </c>
      <c r="O106">
        <v>44.45</v>
      </c>
      <c r="P106">
        <v>13.79</v>
      </c>
      <c r="Q106">
        <v>20.39</v>
      </c>
      <c r="R106">
        <v>11.76</v>
      </c>
      <c r="S106">
        <v>24.06</v>
      </c>
      <c r="T106">
        <v>10.27</v>
      </c>
      <c r="U106">
        <v>16.61</v>
      </c>
    </row>
    <row r="107" spans="1:21">
      <c r="A107" t="s">
        <v>72</v>
      </c>
      <c r="C107" s="7"/>
      <c r="D107" s="7"/>
      <c r="E107" s="7"/>
      <c r="F107" s="7"/>
      <c r="G107" s="7"/>
      <c r="H107" s="7"/>
      <c r="I107" s="7"/>
      <c r="K107" s="7"/>
    </row>
    <row r="108" spans="1:21">
      <c r="A108" t="s">
        <v>73</v>
      </c>
      <c r="B108" s="9">
        <v>0.99999934000000001</v>
      </c>
      <c r="C108" s="9">
        <v>0.99999881999999995</v>
      </c>
      <c r="D108" s="9">
        <v>0.99999937999999999</v>
      </c>
      <c r="E108" s="9">
        <v>0.99999890000000002</v>
      </c>
      <c r="F108" s="9">
        <v>0.99999943000000002</v>
      </c>
      <c r="G108" s="9">
        <v>0.99999875999999999</v>
      </c>
      <c r="H108" s="9">
        <v>0.99999906999999999</v>
      </c>
      <c r="I108" s="9">
        <v>0.99999945999999995</v>
      </c>
      <c r="J108" s="9">
        <v>0.99999934999999995</v>
      </c>
      <c r="K108" s="9">
        <v>0.99999958</v>
      </c>
      <c r="L108" s="9">
        <v>0.99999905</v>
      </c>
      <c r="M108" s="9">
        <v>0.99999914999999995</v>
      </c>
      <c r="N108" s="9">
        <v>0.99999930999999997</v>
      </c>
      <c r="O108" s="9">
        <v>0.99999884000000006</v>
      </c>
      <c r="P108" s="9">
        <v>0.99999965000000002</v>
      </c>
      <c r="Q108" s="9">
        <v>0.99999948000000005</v>
      </c>
      <c r="R108" s="9">
        <v>0.99999970000000005</v>
      </c>
      <c r="S108" s="9">
        <v>0.99999937999999999</v>
      </c>
      <c r="T108" s="9">
        <v>0.99999974000000003</v>
      </c>
      <c r="U108" s="9">
        <v>0.99999958</v>
      </c>
    </row>
    <row r="109" spans="1:21">
      <c r="A109" t="s">
        <v>74</v>
      </c>
      <c r="B109" s="7">
        <v>1</v>
      </c>
      <c r="C109" s="7">
        <v>1</v>
      </c>
      <c r="D109" s="7">
        <v>1</v>
      </c>
      <c r="E109" s="9">
        <v>1</v>
      </c>
      <c r="F109" s="9">
        <v>1</v>
      </c>
      <c r="G109" s="9">
        <v>1</v>
      </c>
      <c r="H109" s="9">
        <v>1</v>
      </c>
      <c r="I109" s="9">
        <v>1</v>
      </c>
      <c r="J109" s="9">
        <v>1</v>
      </c>
      <c r="K109" s="9">
        <v>1</v>
      </c>
      <c r="L109" s="7">
        <v>1</v>
      </c>
      <c r="M109" s="9">
        <v>1</v>
      </c>
      <c r="N109" s="9">
        <v>1</v>
      </c>
      <c r="O109" s="7">
        <v>1</v>
      </c>
      <c r="P109" s="7">
        <v>1</v>
      </c>
      <c r="Q109" s="7">
        <v>1</v>
      </c>
      <c r="R109" s="7">
        <v>1</v>
      </c>
      <c r="S109" s="7">
        <v>1</v>
      </c>
      <c r="T109" s="7">
        <v>1</v>
      </c>
      <c r="U109" s="7">
        <v>1</v>
      </c>
    </row>
    <row r="110" spans="1:21">
      <c r="A110" t="s">
        <v>75</v>
      </c>
      <c r="B110" s="9">
        <v>37127917.210000001</v>
      </c>
      <c r="C110" s="9">
        <v>37127893.950000003</v>
      </c>
      <c r="D110" s="9">
        <v>37127914.68</v>
      </c>
      <c r="E110" s="7">
        <v>37127900.880000003</v>
      </c>
      <c r="F110" s="7">
        <v>37127916.759999998</v>
      </c>
      <c r="G110" s="9">
        <v>37127891.740000002</v>
      </c>
      <c r="H110" s="7">
        <v>37127907.049999997</v>
      </c>
      <c r="I110" s="9">
        <v>37127917.780000001</v>
      </c>
      <c r="J110" s="9">
        <v>37127917.5</v>
      </c>
      <c r="K110" s="9">
        <v>37127922.270000003</v>
      </c>
      <c r="L110">
        <v>37127902.689999998</v>
      </c>
      <c r="M110" s="7">
        <v>37127910</v>
      </c>
      <c r="N110" s="7">
        <v>37127912.130000003</v>
      </c>
      <c r="O110">
        <v>37127894.869999997</v>
      </c>
      <c r="P110">
        <v>37127925.060000002</v>
      </c>
      <c r="Q110">
        <v>37127918.490000002</v>
      </c>
      <c r="R110">
        <v>37127926.780000001</v>
      </c>
      <c r="S110">
        <v>37127914.82</v>
      </c>
      <c r="T110">
        <v>37127928.259999998</v>
      </c>
      <c r="U110">
        <v>37127922.270000003</v>
      </c>
    </row>
    <row r="111" spans="1:21">
      <c r="A111" t="s">
        <v>76</v>
      </c>
      <c r="B111" s="7">
        <v>24.36</v>
      </c>
      <c r="C111" s="7">
        <v>43.92</v>
      </c>
      <c r="D111" s="7">
        <v>23.19</v>
      </c>
      <c r="E111" s="9">
        <v>40.68</v>
      </c>
      <c r="F111" s="9">
        <v>21.11</v>
      </c>
      <c r="G111" s="9">
        <v>46.13</v>
      </c>
      <c r="H111" s="9">
        <v>34.51</v>
      </c>
      <c r="I111" s="9">
        <v>20.079999999999998</v>
      </c>
      <c r="J111" s="7">
        <v>24.06</v>
      </c>
      <c r="K111" s="9">
        <v>15.59</v>
      </c>
      <c r="L111">
        <v>35.18</v>
      </c>
      <c r="M111">
        <v>31.57</v>
      </c>
      <c r="N111">
        <v>25.74</v>
      </c>
      <c r="O111">
        <v>43</v>
      </c>
      <c r="P111">
        <v>12.81</v>
      </c>
      <c r="Q111">
        <v>19.38</v>
      </c>
      <c r="R111">
        <v>11.09</v>
      </c>
      <c r="S111">
        <v>23.05</v>
      </c>
      <c r="T111">
        <v>9.6</v>
      </c>
      <c r="U111">
        <v>15.6</v>
      </c>
    </row>
    <row r="112" spans="1:21">
      <c r="A112" t="s">
        <v>126</v>
      </c>
      <c r="B112" s="5"/>
      <c r="C112" s="7"/>
      <c r="D112" s="7"/>
      <c r="E112" s="7"/>
      <c r="F112" s="7"/>
      <c r="G112" s="7"/>
      <c r="H112" s="7"/>
      <c r="I112" s="7"/>
      <c r="K112" s="7"/>
    </row>
    <row r="113" spans="1:21">
      <c r="A113" t="s">
        <v>51</v>
      </c>
      <c r="B113" s="9">
        <v>0.17</v>
      </c>
      <c r="C113" s="9">
        <v>1.17</v>
      </c>
      <c r="D113" s="9">
        <v>1.17</v>
      </c>
      <c r="E113">
        <v>0.17</v>
      </c>
      <c r="F113">
        <v>1.17</v>
      </c>
      <c r="G113">
        <v>1.17</v>
      </c>
      <c r="H113">
        <v>0.17</v>
      </c>
      <c r="I113">
        <v>1.17</v>
      </c>
      <c r="J113">
        <v>0.17</v>
      </c>
      <c r="K113">
        <v>1.17</v>
      </c>
      <c r="L113">
        <v>1.17</v>
      </c>
      <c r="M113">
        <v>0.17</v>
      </c>
      <c r="N113">
        <v>1.17</v>
      </c>
      <c r="O113">
        <v>1.17</v>
      </c>
      <c r="P113">
        <v>1.17</v>
      </c>
      <c r="Q113">
        <v>1.17</v>
      </c>
      <c r="R113">
        <v>1.17</v>
      </c>
      <c r="S113">
        <v>1.17</v>
      </c>
      <c r="T113">
        <v>1.17</v>
      </c>
      <c r="U113">
        <v>1.17</v>
      </c>
    </row>
    <row r="114" spans="1:21">
      <c r="A114" t="s">
        <v>55</v>
      </c>
      <c r="B114" s="7">
        <v>0.17</v>
      </c>
      <c r="C114" s="7">
        <v>1.17</v>
      </c>
      <c r="D114" s="7">
        <v>1.17</v>
      </c>
      <c r="E114">
        <v>0.17</v>
      </c>
      <c r="F114">
        <v>1.17</v>
      </c>
      <c r="G114">
        <v>1.17</v>
      </c>
      <c r="H114">
        <v>0.17</v>
      </c>
      <c r="I114">
        <v>1.17</v>
      </c>
      <c r="J114">
        <v>0.17</v>
      </c>
      <c r="K114">
        <v>1.17</v>
      </c>
      <c r="L114">
        <v>1.17</v>
      </c>
      <c r="M114">
        <v>0.17</v>
      </c>
      <c r="N114">
        <v>1.17</v>
      </c>
      <c r="O114">
        <v>1.17</v>
      </c>
      <c r="P114">
        <v>1.17</v>
      </c>
      <c r="Q114">
        <v>1.17</v>
      </c>
      <c r="R114">
        <v>1.17</v>
      </c>
      <c r="S114">
        <v>1.17</v>
      </c>
      <c r="T114">
        <v>1.17</v>
      </c>
      <c r="U114">
        <v>1.17</v>
      </c>
    </row>
    <row r="115" spans="1:21">
      <c r="A115" t="s">
        <v>53</v>
      </c>
      <c r="B115" s="9">
        <v>0.17</v>
      </c>
      <c r="C115">
        <v>1.17</v>
      </c>
      <c r="D115">
        <v>1.17</v>
      </c>
      <c r="E115">
        <v>0.17</v>
      </c>
      <c r="F115">
        <v>1.17</v>
      </c>
      <c r="G115">
        <v>1.17</v>
      </c>
      <c r="H115">
        <v>0.17</v>
      </c>
      <c r="I115">
        <v>1.17</v>
      </c>
      <c r="J115">
        <v>0.17</v>
      </c>
      <c r="K115">
        <v>1.17</v>
      </c>
      <c r="L115">
        <v>1.17</v>
      </c>
      <c r="M115">
        <v>0.17</v>
      </c>
      <c r="N115">
        <v>1.17</v>
      </c>
      <c r="O115">
        <v>1.17</v>
      </c>
      <c r="P115">
        <v>1.17</v>
      </c>
      <c r="Q115">
        <v>1.17</v>
      </c>
      <c r="R115">
        <v>1.17</v>
      </c>
      <c r="S115">
        <v>1.17</v>
      </c>
      <c r="T115">
        <v>1.17</v>
      </c>
      <c r="U115">
        <v>1.17</v>
      </c>
    </row>
    <row r="116" spans="1:21">
      <c r="A116" t="s">
        <v>127</v>
      </c>
      <c r="B116" s="7"/>
    </row>
    <row r="117" spans="1:21">
      <c r="A117" t="s">
        <v>51</v>
      </c>
      <c r="B117" s="7">
        <v>0</v>
      </c>
      <c r="C117" s="7">
        <v>0</v>
      </c>
      <c r="D117" s="7">
        <v>0</v>
      </c>
      <c r="E117" s="7">
        <v>0</v>
      </c>
      <c r="F117" s="7">
        <v>0</v>
      </c>
      <c r="G117" s="7">
        <v>0</v>
      </c>
      <c r="H117" s="7">
        <v>0</v>
      </c>
      <c r="I117" s="7">
        <v>0</v>
      </c>
      <c r="J117" s="7">
        <v>0</v>
      </c>
      <c r="K117" s="7">
        <v>0</v>
      </c>
      <c r="L117" s="7">
        <v>0</v>
      </c>
      <c r="M117" s="7">
        <v>0</v>
      </c>
      <c r="N117" s="7">
        <v>0</v>
      </c>
      <c r="O117" s="7">
        <v>0</v>
      </c>
      <c r="P117" s="7">
        <v>0</v>
      </c>
      <c r="Q117" s="7">
        <v>0</v>
      </c>
      <c r="R117" s="7">
        <v>0</v>
      </c>
      <c r="S117" s="7">
        <v>0</v>
      </c>
      <c r="T117" s="7">
        <v>0</v>
      </c>
      <c r="U117" s="7">
        <v>0</v>
      </c>
    </row>
    <row r="118" spans="1:21">
      <c r="A118" t="s">
        <v>55</v>
      </c>
      <c r="B118" s="7">
        <v>0</v>
      </c>
      <c r="C118" s="7">
        <v>0</v>
      </c>
      <c r="D118" s="7">
        <v>0</v>
      </c>
      <c r="E118" s="7">
        <v>0.98089999999999999</v>
      </c>
      <c r="F118" s="7">
        <v>0.98089999999999999</v>
      </c>
      <c r="G118" s="7">
        <v>1</v>
      </c>
      <c r="H118" s="7">
        <v>1</v>
      </c>
      <c r="I118" s="7">
        <v>1</v>
      </c>
      <c r="J118" s="7">
        <v>1</v>
      </c>
      <c r="K118" s="7">
        <v>1</v>
      </c>
      <c r="L118" s="7">
        <v>1</v>
      </c>
      <c r="M118" s="7">
        <v>1</v>
      </c>
      <c r="N118" s="7">
        <v>1</v>
      </c>
      <c r="O118" s="7">
        <v>1</v>
      </c>
      <c r="P118" s="7">
        <v>1</v>
      </c>
      <c r="Q118" s="7">
        <v>1</v>
      </c>
      <c r="R118" s="7">
        <v>1</v>
      </c>
      <c r="S118" s="7">
        <v>1</v>
      </c>
      <c r="T118" s="7">
        <v>1</v>
      </c>
      <c r="U118" s="7">
        <v>1</v>
      </c>
    </row>
    <row r="119" spans="1:21">
      <c r="A119" t="s">
        <v>53</v>
      </c>
      <c r="B119" s="7">
        <v>0</v>
      </c>
      <c r="C119" s="7">
        <v>0</v>
      </c>
      <c r="D119" s="7">
        <v>0</v>
      </c>
      <c r="E119" s="7">
        <v>8.4199999999999997E-2</v>
      </c>
      <c r="F119" s="7">
        <v>8.4199999999999997E-2</v>
      </c>
      <c r="G119" s="7">
        <v>0.19789999999999999</v>
      </c>
      <c r="H119" s="7">
        <v>0.16259999999999999</v>
      </c>
      <c r="I119" s="7">
        <v>0.16259999999999999</v>
      </c>
      <c r="J119" s="7">
        <v>0.21510000000000001</v>
      </c>
      <c r="K119" s="7">
        <v>0.21510000000000001</v>
      </c>
      <c r="L119" s="9">
        <v>0.3856</v>
      </c>
      <c r="M119" s="7">
        <v>0.27429999999999999</v>
      </c>
      <c r="N119" s="7">
        <v>0.27429999999999999</v>
      </c>
      <c r="O119" s="9">
        <v>0.42630000000000001</v>
      </c>
      <c r="P119" s="9">
        <v>0.56679999999999997</v>
      </c>
      <c r="Q119" s="9">
        <v>0.76890000000000003</v>
      </c>
      <c r="R119" s="9">
        <v>0.76780000000000004</v>
      </c>
      <c r="S119" s="9">
        <v>0.77939999999999998</v>
      </c>
      <c r="T119" s="9">
        <v>0.77470000000000006</v>
      </c>
      <c r="U119" s="9">
        <v>0.80049999999999999</v>
      </c>
    </row>
    <row r="120" spans="1:21">
      <c r="A120" t="s">
        <v>128</v>
      </c>
      <c r="B120" s="7"/>
      <c r="C120" s="7"/>
      <c r="D120" s="7"/>
      <c r="E120" s="7"/>
      <c r="F120" s="7"/>
      <c r="G120" s="7"/>
      <c r="H120" s="7"/>
      <c r="I120" s="7"/>
      <c r="J120" s="7"/>
      <c r="K120" s="7"/>
      <c r="M120" s="9"/>
      <c r="N120" s="9"/>
    </row>
    <row r="121" spans="1:21">
      <c r="A121" t="s">
        <v>129</v>
      </c>
      <c r="B121" s="7">
        <v>0</v>
      </c>
      <c r="C121" s="7">
        <v>0</v>
      </c>
      <c r="D121" s="7">
        <v>0</v>
      </c>
      <c r="E121" s="7">
        <v>0</v>
      </c>
      <c r="F121" s="7">
        <v>0</v>
      </c>
      <c r="G121" s="7">
        <v>0</v>
      </c>
      <c r="H121" s="7">
        <v>0</v>
      </c>
      <c r="I121" s="7">
        <v>0</v>
      </c>
      <c r="J121" s="9">
        <v>0</v>
      </c>
      <c r="K121" s="7">
        <v>0</v>
      </c>
      <c r="L121" s="7">
        <v>0</v>
      </c>
      <c r="M121" s="7">
        <v>0</v>
      </c>
      <c r="N121" s="7">
        <v>0</v>
      </c>
      <c r="O121" s="7">
        <v>0</v>
      </c>
      <c r="P121" s="7">
        <v>0</v>
      </c>
      <c r="Q121" s="7">
        <v>0</v>
      </c>
      <c r="R121" s="7">
        <v>0</v>
      </c>
      <c r="S121" s="7">
        <v>0</v>
      </c>
      <c r="T121" s="7">
        <v>0</v>
      </c>
      <c r="U121" s="7">
        <v>0</v>
      </c>
    </row>
    <row r="122" spans="1:21">
      <c r="A122" t="s">
        <v>130</v>
      </c>
      <c r="B122" s="7">
        <v>0</v>
      </c>
      <c r="C122" s="7">
        <v>0</v>
      </c>
      <c r="D122" s="7">
        <v>0</v>
      </c>
      <c r="E122" s="9">
        <v>0.50900000000000001</v>
      </c>
      <c r="F122" s="9">
        <v>0.50900000000000001</v>
      </c>
      <c r="G122" s="9">
        <v>7.4499999999999997E-2</v>
      </c>
      <c r="H122" s="9">
        <v>0.50900000000000001</v>
      </c>
      <c r="I122" s="9">
        <v>0.50900000000000001</v>
      </c>
      <c r="J122" s="7">
        <v>0.50900000000000001</v>
      </c>
      <c r="K122" s="9">
        <v>0.50900000000000001</v>
      </c>
      <c r="L122" s="9">
        <v>3.9399999999999998E-2</v>
      </c>
      <c r="M122" s="7">
        <v>0.50900000000000001</v>
      </c>
      <c r="N122" s="7">
        <v>0.50900000000000001</v>
      </c>
      <c r="O122" s="9">
        <v>4.9599999999999998E-2</v>
      </c>
      <c r="P122" s="9">
        <v>5.2499999999999998E-2</v>
      </c>
      <c r="Q122" s="9">
        <v>4.1500000000000002E-2</v>
      </c>
      <c r="R122" s="9">
        <v>4.2599999999999999E-2</v>
      </c>
      <c r="S122" s="9">
        <v>4.2299999999999997E-2</v>
      </c>
      <c r="T122" s="9">
        <v>4.6800000000000001E-2</v>
      </c>
      <c r="U122" s="9">
        <v>3.6200000000000003E-2</v>
      </c>
    </row>
    <row r="123" spans="1:21">
      <c r="A123" t="s">
        <v>131</v>
      </c>
      <c r="B123" s="7">
        <v>0</v>
      </c>
      <c r="C123" s="7">
        <v>0</v>
      </c>
      <c r="D123" s="7">
        <v>0</v>
      </c>
      <c r="E123" s="9">
        <v>0.35510000000000003</v>
      </c>
      <c r="F123" s="9">
        <v>0.35510000000000003</v>
      </c>
      <c r="G123" s="7">
        <v>0.57330000000000003</v>
      </c>
      <c r="H123" s="9">
        <v>0.26329999999999998</v>
      </c>
      <c r="I123" s="7">
        <v>0.26329999999999998</v>
      </c>
      <c r="J123" s="7">
        <v>0.2117</v>
      </c>
      <c r="K123" s="7">
        <v>0.2117</v>
      </c>
      <c r="L123" s="9">
        <v>0.38669999999999999</v>
      </c>
      <c r="M123" s="9">
        <v>0.16209999999999999</v>
      </c>
      <c r="N123" s="9">
        <v>0.16209999999999999</v>
      </c>
      <c r="O123" s="9">
        <v>0.36030000000000001</v>
      </c>
      <c r="P123" s="9">
        <v>0.1651</v>
      </c>
      <c r="Q123" s="7">
        <v>0.11</v>
      </c>
      <c r="R123" s="9">
        <v>0.1104</v>
      </c>
      <c r="S123" s="9">
        <v>0.10299999999999999</v>
      </c>
      <c r="T123" s="9">
        <v>0.10390000000000001</v>
      </c>
      <c r="U123" s="9">
        <v>9.5299999999999996E-2</v>
      </c>
    </row>
    <row r="124" spans="1:21">
      <c r="A124" t="s">
        <v>132</v>
      </c>
      <c r="B124" s="7">
        <v>0</v>
      </c>
      <c r="C124" s="7">
        <v>0</v>
      </c>
      <c r="D124" s="7">
        <v>0</v>
      </c>
      <c r="E124" s="7">
        <v>0.1033</v>
      </c>
      <c r="F124" s="7">
        <v>0.1033</v>
      </c>
      <c r="G124" s="7">
        <v>0.3357</v>
      </c>
      <c r="H124" s="7">
        <v>9.1800000000000007E-2</v>
      </c>
      <c r="I124" s="7">
        <v>9.1800000000000007E-2</v>
      </c>
      <c r="J124" s="9">
        <v>8.6900000000000005E-2</v>
      </c>
      <c r="K124" s="7">
        <v>8.6900000000000005E-2</v>
      </c>
      <c r="L124" s="9">
        <v>0.30159999999999998</v>
      </c>
      <c r="M124" s="7">
        <v>7.3899999999999993E-2</v>
      </c>
      <c r="N124" s="9">
        <v>7.3899999999999993E-2</v>
      </c>
      <c r="O124" s="9">
        <v>0.26490000000000002</v>
      </c>
      <c r="P124" s="9">
        <v>0.2238</v>
      </c>
      <c r="Q124" s="9">
        <v>7.0499999999999993E-2</v>
      </c>
      <c r="R124" s="9">
        <v>7.0199999999999999E-2</v>
      </c>
      <c r="S124" s="9">
        <v>6.7100000000000007E-2</v>
      </c>
      <c r="T124" s="9">
        <v>6.6699999999999995E-2</v>
      </c>
      <c r="U124" s="9">
        <v>5.8500000000000003E-2</v>
      </c>
    </row>
    <row r="125" spans="1:21">
      <c r="A125" t="s">
        <v>133</v>
      </c>
      <c r="B125" s="7">
        <v>0</v>
      </c>
      <c r="C125" s="7">
        <v>0</v>
      </c>
      <c r="D125" s="7">
        <v>0</v>
      </c>
      <c r="E125" s="9">
        <v>3.1399999999999997E-2</v>
      </c>
      <c r="F125" s="9">
        <v>3.1399999999999997E-2</v>
      </c>
      <c r="G125" s="9">
        <v>1.6E-2</v>
      </c>
      <c r="H125" s="9">
        <v>6.3700000000000007E-2</v>
      </c>
      <c r="I125" s="9">
        <v>6.3700000000000007E-2</v>
      </c>
      <c r="J125" s="9">
        <v>5.6399999999999999E-2</v>
      </c>
      <c r="K125" s="9">
        <v>5.6399999999999999E-2</v>
      </c>
      <c r="L125" s="9">
        <v>8.7900000000000006E-2</v>
      </c>
      <c r="M125" s="9">
        <v>4.99E-2</v>
      </c>
      <c r="N125" s="9">
        <v>4.99E-2</v>
      </c>
      <c r="O125" s="9">
        <v>7.9000000000000001E-2</v>
      </c>
      <c r="P125" s="9">
        <v>0.21160000000000001</v>
      </c>
      <c r="Q125" s="9">
        <v>8.7599999999999997E-2</v>
      </c>
      <c r="R125" s="9">
        <v>8.72E-2</v>
      </c>
      <c r="S125" s="9">
        <v>8.1299999999999997E-2</v>
      </c>
      <c r="T125" s="9">
        <v>8.0600000000000005E-2</v>
      </c>
      <c r="U125" s="9">
        <v>7.6899999999999996E-2</v>
      </c>
    </row>
    <row r="126" spans="1:21">
      <c r="A126" t="s">
        <v>134</v>
      </c>
      <c r="B126" s="9">
        <v>0</v>
      </c>
      <c r="C126" s="7">
        <v>0</v>
      </c>
      <c r="D126" s="7">
        <v>0</v>
      </c>
      <c r="E126" s="9">
        <v>1.1000000000000001E-3</v>
      </c>
      <c r="F126" s="9">
        <v>1.1000000000000001E-3</v>
      </c>
      <c r="G126" s="9">
        <v>4.0000000000000002E-4</v>
      </c>
      <c r="H126" s="9">
        <v>7.22E-2</v>
      </c>
      <c r="I126" s="9">
        <v>7.22E-2</v>
      </c>
      <c r="J126" s="9">
        <v>0.13589999999999999</v>
      </c>
      <c r="K126" s="9">
        <v>0.13589999999999999</v>
      </c>
      <c r="L126" s="9">
        <v>0.18429999999999999</v>
      </c>
      <c r="M126" s="9">
        <v>0.2051</v>
      </c>
      <c r="N126" s="9">
        <v>0.2051</v>
      </c>
      <c r="O126" s="9">
        <v>0.24610000000000001</v>
      </c>
      <c r="P126" s="9">
        <v>0.34699999999999998</v>
      </c>
      <c r="Q126" s="9">
        <v>0.69040000000000001</v>
      </c>
      <c r="R126" s="9">
        <v>0.68959999999999999</v>
      </c>
      <c r="S126" s="9">
        <v>0.70630000000000004</v>
      </c>
      <c r="T126" s="9">
        <v>0.70199999999999996</v>
      </c>
      <c r="U126" s="9">
        <v>0.73319999999999996</v>
      </c>
    </row>
    <row r="127" spans="1:21">
      <c r="A127" t="s">
        <v>135</v>
      </c>
      <c r="B127" s="7">
        <v>0</v>
      </c>
      <c r="C127" s="7">
        <v>0</v>
      </c>
      <c r="D127" s="7">
        <v>0</v>
      </c>
      <c r="E127" s="9">
        <v>0</v>
      </c>
      <c r="F127" s="9">
        <v>0</v>
      </c>
      <c r="G127" s="9">
        <v>0</v>
      </c>
      <c r="H127" s="9">
        <v>0</v>
      </c>
      <c r="I127" s="9">
        <v>0</v>
      </c>
      <c r="J127" s="9">
        <v>0</v>
      </c>
      <c r="K127" s="9">
        <v>0</v>
      </c>
      <c r="L127" s="7">
        <v>0</v>
      </c>
      <c r="M127" s="9">
        <v>0</v>
      </c>
      <c r="N127" s="9">
        <v>0</v>
      </c>
      <c r="O127" s="7">
        <v>0</v>
      </c>
      <c r="P127" s="7">
        <v>0</v>
      </c>
      <c r="Q127" s="7">
        <v>0</v>
      </c>
      <c r="R127" s="7">
        <v>0</v>
      </c>
      <c r="S127" s="7">
        <v>0</v>
      </c>
      <c r="T127" s="7">
        <v>0</v>
      </c>
      <c r="U127" s="7">
        <v>0</v>
      </c>
    </row>
    <row r="128" spans="1:21">
      <c r="A128" t="s">
        <v>136</v>
      </c>
      <c r="B128" s="7">
        <v>0</v>
      </c>
      <c r="C128" s="7">
        <v>0</v>
      </c>
      <c r="D128" s="7">
        <v>0</v>
      </c>
      <c r="E128" s="9">
        <v>0</v>
      </c>
      <c r="F128" s="9">
        <v>0</v>
      </c>
      <c r="G128" s="9">
        <v>0</v>
      </c>
      <c r="H128" s="9">
        <v>0</v>
      </c>
      <c r="I128" s="9">
        <v>0</v>
      </c>
      <c r="J128" s="9">
        <v>0</v>
      </c>
      <c r="K128" s="9">
        <v>0</v>
      </c>
      <c r="L128" s="7">
        <v>0</v>
      </c>
      <c r="M128" s="7">
        <v>0</v>
      </c>
      <c r="N128" s="7">
        <v>0</v>
      </c>
      <c r="O128" s="7">
        <v>0</v>
      </c>
      <c r="P128" s="7">
        <v>0</v>
      </c>
      <c r="Q128" s="7">
        <v>0</v>
      </c>
      <c r="R128" s="7">
        <v>0</v>
      </c>
      <c r="S128" s="7">
        <v>0</v>
      </c>
      <c r="T128" s="7">
        <v>0</v>
      </c>
      <c r="U128" s="7">
        <v>0</v>
      </c>
    </row>
    <row r="129" spans="1:21">
      <c r="A129" t="s">
        <v>137</v>
      </c>
      <c r="B129" s="9">
        <v>0</v>
      </c>
      <c r="C129" s="7">
        <v>0</v>
      </c>
      <c r="D129" s="7">
        <v>0</v>
      </c>
      <c r="E129" s="9">
        <v>0</v>
      </c>
      <c r="F129" s="9">
        <v>0</v>
      </c>
      <c r="G129" s="9">
        <v>0</v>
      </c>
      <c r="H129" s="9">
        <v>0</v>
      </c>
      <c r="I129" s="9">
        <v>0</v>
      </c>
      <c r="J129" s="7">
        <v>0</v>
      </c>
      <c r="K129" s="9">
        <v>0</v>
      </c>
      <c r="L129" s="7">
        <v>0</v>
      </c>
      <c r="M129" s="7">
        <v>0</v>
      </c>
      <c r="N129" s="7">
        <v>0</v>
      </c>
      <c r="O129" s="7">
        <v>0</v>
      </c>
      <c r="P129" s="7">
        <v>0</v>
      </c>
      <c r="Q129" s="7">
        <v>0</v>
      </c>
      <c r="R129" s="7">
        <v>0</v>
      </c>
      <c r="S129" s="7">
        <v>0</v>
      </c>
      <c r="T129" s="7">
        <v>0</v>
      </c>
      <c r="U129" s="7">
        <v>0</v>
      </c>
    </row>
    <row r="130" spans="1:21">
      <c r="A130" t="s">
        <v>138</v>
      </c>
      <c r="B130" s="9">
        <v>0</v>
      </c>
      <c r="C130" s="7">
        <v>0</v>
      </c>
      <c r="D130" s="7">
        <v>0</v>
      </c>
      <c r="E130" s="7">
        <v>0</v>
      </c>
      <c r="F130" s="7">
        <v>0</v>
      </c>
      <c r="G130" s="7">
        <v>0</v>
      </c>
      <c r="H130" s="7">
        <v>0</v>
      </c>
      <c r="I130" s="7">
        <v>0</v>
      </c>
      <c r="J130" s="7">
        <v>0</v>
      </c>
      <c r="K130" s="7">
        <v>0</v>
      </c>
      <c r="L130" s="7">
        <v>0</v>
      </c>
      <c r="M130" s="7">
        <v>0</v>
      </c>
      <c r="N130" s="7">
        <v>0</v>
      </c>
      <c r="O130" s="7">
        <v>0</v>
      </c>
      <c r="P130" s="7">
        <v>0</v>
      </c>
      <c r="Q130" s="7">
        <v>0</v>
      </c>
      <c r="R130" s="7">
        <v>0</v>
      </c>
      <c r="S130" s="7">
        <v>0</v>
      </c>
      <c r="T130" s="7">
        <v>0</v>
      </c>
      <c r="U130" s="7">
        <v>0</v>
      </c>
    </row>
    <row r="131" spans="1:21">
      <c r="A131" t="s">
        <v>139</v>
      </c>
      <c r="B131" s="9">
        <v>0</v>
      </c>
      <c r="C131" s="7">
        <v>0</v>
      </c>
      <c r="D131" s="7">
        <v>0</v>
      </c>
      <c r="E131" s="7">
        <v>0</v>
      </c>
      <c r="F131" s="7">
        <v>0</v>
      </c>
      <c r="G131" s="7">
        <v>0</v>
      </c>
      <c r="H131" s="7">
        <v>0</v>
      </c>
      <c r="I131" s="7">
        <v>0</v>
      </c>
      <c r="J131" s="7">
        <v>0</v>
      </c>
      <c r="K131" s="7">
        <v>0</v>
      </c>
      <c r="L131" s="7">
        <v>0</v>
      </c>
      <c r="M131" s="7">
        <v>0</v>
      </c>
      <c r="N131" s="7">
        <v>0</v>
      </c>
      <c r="O131" s="7">
        <v>0</v>
      </c>
      <c r="P131" s="7">
        <v>0</v>
      </c>
      <c r="Q131" s="7">
        <v>0</v>
      </c>
      <c r="R131" s="7">
        <v>0</v>
      </c>
      <c r="S131" s="7">
        <v>0</v>
      </c>
      <c r="T131" s="7">
        <v>0</v>
      </c>
      <c r="U131" s="7">
        <v>0</v>
      </c>
    </row>
    <row r="132" spans="1:21">
      <c r="A132" t="s">
        <v>140</v>
      </c>
      <c r="B132" s="9"/>
      <c r="C132" s="7"/>
      <c r="D132" s="7"/>
      <c r="E132" s="7"/>
      <c r="F132" s="7"/>
      <c r="G132" s="7"/>
      <c r="H132" s="7"/>
      <c r="I132" s="7"/>
      <c r="J132" s="7"/>
      <c r="K132" s="7"/>
      <c r="M132" s="7"/>
      <c r="N132" s="7"/>
    </row>
    <row r="133" spans="1:21">
      <c r="A133" t="s">
        <v>51</v>
      </c>
      <c r="B133" s="9">
        <v>2766153.53</v>
      </c>
      <c r="C133" s="7">
        <v>2766245.92</v>
      </c>
      <c r="D133" s="7">
        <v>2765963.63</v>
      </c>
      <c r="E133" s="7">
        <v>2622797.0699999998</v>
      </c>
      <c r="F133" s="7">
        <v>2622274.31</v>
      </c>
      <c r="G133" s="7">
        <v>2314298.08</v>
      </c>
      <c r="H133" s="7">
        <v>2468481.33</v>
      </c>
      <c r="I133" s="7">
        <v>2468490.9900000002</v>
      </c>
      <c r="J133" s="7">
        <v>2349661.87</v>
      </c>
      <c r="K133" s="7">
        <v>2348508.92</v>
      </c>
      <c r="L133">
        <v>1933578.93</v>
      </c>
      <c r="M133">
        <v>2209001.9900000002</v>
      </c>
      <c r="N133">
        <v>2209165.09</v>
      </c>
      <c r="O133">
        <v>1830765.66</v>
      </c>
      <c r="P133">
        <v>1477288.74</v>
      </c>
      <c r="Q133">
        <v>784776</v>
      </c>
      <c r="R133">
        <v>789153.07</v>
      </c>
      <c r="S133">
        <v>755242.88</v>
      </c>
      <c r="T133">
        <v>772415.5</v>
      </c>
      <c r="U133">
        <v>698316.27</v>
      </c>
    </row>
    <row r="134" spans="1:21">
      <c r="A134" t="s">
        <v>55</v>
      </c>
      <c r="B134" s="7">
        <v>2766153.53</v>
      </c>
      <c r="C134" s="7">
        <v>2766245.92</v>
      </c>
      <c r="D134" s="7">
        <v>2765963.63</v>
      </c>
      <c r="E134" s="7">
        <v>2622797.0699999998</v>
      </c>
      <c r="F134" s="7">
        <v>2622274.31</v>
      </c>
      <c r="G134" s="7">
        <v>2314298.08</v>
      </c>
      <c r="H134" s="7">
        <v>2468481.33</v>
      </c>
      <c r="I134" s="7">
        <v>2468490.9900000002</v>
      </c>
      <c r="J134">
        <v>2349661.87</v>
      </c>
      <c r="K134" s="7">
        <v>2348508.92</v>
      </c>
      <c r="L134">
        <v>1933578.93</v>
      </c>
      <c r="M134">
        <v>2209001.9900000002</v>
      </c>
      <c r="N134">
        <v>2209165.09</v>
      </c>
      <c r="O134">
        <v>1830765.66</v>
      </c>
      <c r="P134">
        <v>1477288.74</v>
      </c>
      <c r="Q134">
        <v>784776</v>
      </c>
      <c r="R134">
        <v>789153.07</v>
      </c>
      <c r="S134">
        <v>755242.88</v>
      </c>
      <c r="T134">
        <v>772415.5</v>
      </c>
      <c r="U134">
        <v>698316.27</v>
      </c>
    </row>
    <row r="135" spans="1:21">
      <c r="A135" t="s">
        <v>53</v>
      </c>
      <c r="B135" s="7">
        <v>2766153.53</v>
      </c>
      <c r="C135" s="7">
        <v>2766245.92</v>
      </c>
      <c r="D135" s="7">
        <v>2765963.63</v>
      </c>
      <c r="E135">
        <v>2622797.0699999998</v>
      </c>
      <c r="F135">
        <v>2622274.31</v>
      </c>
      <c r="G135">
        <v>2314298.08</v>
      </c>
      <c r="H135">
        <v>2468481.33</v>
      </c>
      <c r="I135">
        <v>2468490.9900000002</v>
      </c>
      <c r="J135">
        <v>2349661.87</v>
      </c>
      <c r="K135">
        <v>2348508.92</v>
      </c>
      <c r="L135">
        <v>1933578.93</v>
      </c>
      <c r="M135">
        <v>2209001.9900000002</v>
      </c>
      <c r="N135">
        <v>2209165.09</v>
      </c>
      <c r="O135">
        <v>1830765.66</v>
      </c>
      <c r="P135">
        <v>1477288.74</v>
      </c>
      <c r="Q135">
        <v>784776</v>
      </c>
      <c r="R135">
        <v>789153.07</v>
      </c>
      <c r="S135">
        <v>755242.88</v>
      </c>
      <c r="T135">
        <v>772415.5</v>
      </c>
      <c r="U135">
        <v>698316.27</v>
      </c>
    </row>
    <row r="136" spans="1:21">
      <c r="A136" t="s">
        <v>141</v>
      </c>
      <c r="B136" s="7"/>
      <c r="C136" s="7"/>
      <c r="D136" s="7"/>
    </row>
    <row r="137" spans="1:21">
      <c r="A137" t="s">
        <v>51</v>
      </c>
      <c r="B137" s="7" t="s">
        <v>142</v>
      </c>
      <c r="C137" t="s">
        <v>142</v>
      </c>
      <c r="D137" t="s">
        <v>142</v>
      </c>
      <c r="E137" t="s">
        <v>142</v>
      </c>
      <c r="F137" t="s">
        <v>142</v>
      </c>
      <c r="G137" t="s">
        <v>142</v>
      </c>
      <c r="H137" t="s">
        <v>142</v>
      </c>
      <c r="I137" t="s">
        <v>142</v>
      </c>
      <c r="J137" t="s">
        <v>142</v>
      </c>
      <c r="K137" t="s">
        <v>142</v>
      </c>
      <c r="L137" t="s">
        <v>142</v>
      </c>
      <c r="M137" t="s">
        <v>142</v>
      </c>
      <c r="N137" t="s">
        <v>142</v>
      </c>
      <c r="O137" t="s">
        <v>142</v>
      </c>
      <c r="P137" t="s">
        <v>142</v>
      </c>
      <c r="Q137" t="s">
        <v>142</v>
      </c>
      <c r="R137" t="s">
        <v>142</v>
      </c>
      <c r="S137" t="s">
        <v>142</v>
      </c>
      <c r="T137" t="s">
        <v>142</v>
      </c>
      <c r="U137" t="s">
        <v>142</v>
      </c>
    </row>
    <row r="138" spans="1:21">
      <c r="A138" t="s">
        <v>55</v>
      </c>
      <c r="B138" s="7" t="s">
        <v>142</v>
      </c>
      <c r="C138" t="s">
        <v>142</v>
      </c>
      <c r="D138" t="s">
        <v>142</v>
      </c>
      <c r="E138" t="s">
        <v>142</v>
      </c>
      <c r="F138" t="s">
        <v>142</v>
      </c>
      <c r="G138" t="s">
        <v>142</v>
      </c>
      <c r="H138" t="s">
        <v>142</v>
      </c>
      <c r="I138" t="s">
        <v>142</v>
      </c>
      <c r="J138" t="s">
        <v>142</v>
      </c>
      <c r="K138" t="s">
        <v>142</v>
      </c>
      <c r="L138" t="s">
        <v>142</v>
      </c>
      <c r="M138" t="s">
        <v>142</v>
      </c>
      <c r="N138" t="s">
        <v>142</v>
      </c>
      <c r="O138" t="s">
        <v>142</v>
      </c>
      <c r="P138" t="s">
        <v>142</v>
      </c>
      <c r="Q138" t="s">
        <v>142</v>
      </c>
      <c r="R138" t="s">
        <v>142</v>
      </c>
      <c r="S138" t="s">
        <v>142</v>
      </c>
      <c r="T138" t="s">
        <v>142</v>
      </c>
      <c r="U138" t="s">
        <v>142</v>
      </c>
    </row>
    <row r="139" spans="1:21">
      <c r="A139" t="s">
        <v>53</v>
      </c>
      <c r="B139" t="s">
        <v>142</v>
      </c>
      <c r="C139" t="s">
        <v>142</v>
      </c>
      <c r="D139" t="s">
        <v>142</v>
      </c>
      <c r="E139" t="s">
        <v>142</v>
      </c>
      <c r="F139" t="s">
        <v>142</v>
      </c>
      <c r="G139" t="s">
        <v>142</v>
      </c>
      <c r="H139" t="s">
        <v>142</v>
      </c>
      <c r="I139" t="s">
        <v>142</v>
      </c>
      <c r="J139" t="s">
        <v>142</v>
      </c>
      <c r="K139" t="s">
        <v>142</v>
      </c>
      <c r="L139" t="s">
        <v>142</v>
      </c>
      <c r="M139" t="s">
        <v>142</v>
      </c>
      <c r="N139" t="s">
        <v>142</v>
      </c>
      <c r="O139" t="s">
        <v>142</v>
      </c>
      <c r="P139" t="s">
        <v>142</v>
      </c>
      <c r="Q139" t="s">
        <v>142</v>
      </c>
      <c r="R139" t="s">
        <v>142</v>
      </c>
      <c r="S139" t="s">
        <v>142</v>
      </c>
      <c r="T139" t="s">
        <v>142</v>
      </c>
      <c r="U139" t="s">
        <v>142</v>
      </c>
    </row>
    <row r="140" spans="1:21">
      <c r="A140" t="s">
        <v>143</v>
      </c>
    </row>
    <row r="141" spans="1:21">
      <c r="A141" t="s">
        <v>51</v>
      </c>
      <c r="B141" s="9">
        <v>2.7E-2</v>
      </c>
      <c r="C141" s="9">
        <v>2.7E-2</v>
      </c>
      <c r="D141" s="9">
        <v>2.7E-2</v>
      </c>
      <c r="E141" s="9">
        <v>2.7E-2</v>
      </c>
      <c r="F141" s="9">
        <v>2.7E-2</v>
      </c>
      <c r="G141" s="9">
        <v>5.33E-2</v>
      </c>
      <c r="H141" s="7">
        <v>0</v>
      </c>
      <c r="I141" s="7">
        <v>0</v>
      </c>
      <c r="J141" s="7">
        <v>0</v>
      </c>
      <c r="K141" s="7">
        <v>0</v>
      </c>
      <c r="L141" s="7">
        <v>0</v>
      </c>
      <c r="M141" s="7">
        <v>0</v>
      </c>
      <c r="N141" s="7">
        <v>0</v>
      </c>
      <c r="O141" s="7">
        <v>0</v>
      </c>
      <c r="P141" s="7">
        <v>0</v>
      </c>
      <c r="Q141" s="7">
        <v>0</v>
      </c>
      <c r="R141" s="7">
        <v>0</v>
      </c>
      <c r="S141" s="7">
        <v>0</v>
      </c>
      <c r="T141" s="7">
        <v>0</v>
      </c>
      <c r="U141" s="7">
        <v>0</v>
      </c>
    </row>
    <row r="142" spans="1:21">
      <c r="A142" t="s">
        <v>55</v>
      </c>
      <c r="B142" s="7">
        <v>1</v>
      </c>
      <c r="C142" s="7">
        <v>1</v>
      </c>
      <c r="D142" s="7">
        <v>1</v>
      </c>
      <c r="E142" s="9">
        <v>1</v>
      </c>
      <c r="F142" s="7">
        <v>1</v>
      </c>
      <c r="G142" s="7">
        <v>1</v>
      </c>
      <c r="H142" s="7">
        <v>1</v>
      </c>
      <c r="I142" s="7">
        <v>1</v>
      </c>
      <c r="J142" s="7">
        <v>1</v>
      </c>
      <c r="K142" s="7">
        <v>1</v>
      </c>
      <c r="L142" s="7">
        <v>1</v>
      </c>
      <c r="M142" s="7">
        <v>1</v>
      </c>
      <c r="N142" s="7">
        <v>1</v>
      </c>
      <c r="O142" s="7">
        <v>1</v>
      </c>
      <c r="P142" s="7">
        <v>1</v>
      </c>
      <c r="Q142" s="7">
        <v>1</v>
      </c>
      <c r="R142" s="7">
        <v>1</v>
      </c>
      <c r="S142" s="7">
        <v>1</v>
      </c>
      <c r="T142" s="7">
        <v>1</v>
      </c>
      <c r="U142" s="7">
        <v>1</v>
      </c>
    </row>
    <row r="143" spans="1:21">
      <c r="A143" t="s">
        <v>53</v>
      </c>
      <c r="B143" s="9">
        <v>0.41039999999999999</v>
      </c>
      <c r="C143" s="9">
        <v>0.40989999999999999</v>
      </c>
      <c r="D143" s="9">
        <v>0.41010000000000002</v>
      </c>
      <c r="E143" s="7">
        <v>0.44369999999999998</v>
      </c>
      <c r="F143" s="7">
        <v>0.44259999999999999</v>
      </c>
      <c r="G143" s="7">
        <v>0.49120000000000003</v>
      </c>
      <c r="H143" s="7">
        <v>0.48870000000000002</v>
      </c>
      <c r="I143" s="7">
        <v>0.48920000000000002</v>
      </c>
      <c r="J143" s="7">
        <v>0.51839999999999997</v>
      </c>
      <c r="K143" s="7">
        <v>0.51690000000000003</v>
      </c>
      <c r="L143" s="9">
        <v>0.60980000000000001</v>
      </c>
      <c r="M143" s="7">
        <v>0.55369999999999997</v>
      </c>
      <c r="N143" s="7">
        <v>0.55410000000000004</v>
      </c>
      <c r="O143" s="9">
        <v>0.6361</v>
      </c>
      <c r="P143" s="9">
        <v>0.73080000000000001</v>
      </c>
      <c r="Q143" s="9">
        <v>0.85750000000000004</v>
      </c>
      <c r="R143" s="9">
        <v>0.85660000000000003</v>
      </c>
      <c r="S143" s="9">
        <v>0.86299999999999999</v>
      </c>
      <c r="T143" s="9">
        <v>0.86009999999999998</v>
      </c>
      <c r="U143" s="9">
        <v>0.875</v>
      </c>
    </row>
    <row r="144" spans="1:21">
      <c r="A144" t="s">
        <v>128</v>
      </c>
      <c r="B144" s="7"/>
      <c r="C144" s="7"/>
      <c r="D144" s="7"/>
      <c r="E144" s="9"/>
      <c r="F144" s="9"/>
      <c r="G144" s="7"/>
      <c r="H144" s="7"/>
      <c r="I144" s="7"/>
      <c r="J144" s="7"/>
      <c r="K144" s="7"/>
      <c r="M144" s="9"/>
      <c r="N144" s="9"/>
    </row>
    <row r="145" spans="1:21">
      <c r="A145" t="s">
        <v>129</v>
      </c>
      <c r="B145" s="9">
        <v>0</v>
      </c>
      <c r="C145" s="9">
        <v>0</v>
      </c>
      <c r="D145" s="9">
        <v>0</v>
      </c>
      <c r="E145" s="7">
        <v>0</v>
      </c>
      <c r="F145" s="7">
        <v>0</v>
      </c>
      <c r="G145" s="7">
        <v>0</v>
      </c>
      <c r="H145" s="7">
        <v>0</v>
      </c>
      <c r="I145" s="7">
        <v>0</v>
      </c>
      <c r="J145" s="9">
        <v>0</v>
      </c>
      <c r="K145" s="7">
        <v>0</v>
      </c>
      <c r="L145" s="7">
        <v>0</v>
      </c>
      <c r="M145" s="7">
        <v>0</v>
      </c>
      <c r="N145" s="7">
        <v>0</v>
      </c>
      <c r="O145" s="7">
        <v>0</v>
      </c>
      <c r="P145" s="7">
        <v>0</v>
      </c>
      <c r="Q145" s="7">
        <v>0</v>
      </c>
      <c r="R145" s="7">
        <v>0</v>
      </c>
      <c r="S145" s="7">
        <v>0</v>
      </c>
      <c r="T145" s="7">
        <v>0</v>
      </c>
      <c r="U145" s="7">
        <v>0</v>
      </c>
    </row>
    <row r="146" spans="1:21">
      <c r="A146" t="s">
        <v>130</v>
      </c>
      <c r="B146" s="9">
        <v>0</v>
      </c>
      <c r="C146" s="9">
        <v>0</v>
      </c>
      <c r="D146" s="9">
        <v>0</v>
      </c>
      <c r="E146" s="9">
        <v>0</v>
      </c>
      <c r="F146" s="9">
        <v>0</v>
      </c>
      <c r="G146" s="9">
        <v>0</v>
      </c>
      <c r="H146" s="9">
        <v>0</v>
      </c>
      <c r="I146" s="9">
        <v>0</v>
      </c>
      <c r="J146" s="7">
        <v>1E-4</v>
      </c>
      <c r="K146" s="9">
        <v>0</v>
      </c>
      <c r="L146" s="9">
        <v>1E-4</v>
      </c>
      <c r="M146" s="7">
        <v>1E-4</v>
      </c>
      <c r="N146" s="7">
        <v>1E-4</v>
      </c>
      <c r="O146" s="9">
        <v>2.0000000000000001E-4</v>
      </c>
      <c r="P146" s="9">
        <v>2.0000000000000001E-4</v>
      </c>
      <c r="Q146" s="9">
        <v>2.0000000000000001E-4</v>
      </c>
      <c r="R146" s="9">
        <v>2.9999999999999997E-4</v>
      </c>
      <c r="S146" s="9">
        <v>5.0000000000000001E-4</v>
      </c>
      <c r="T146" s="9">
        <v>5.0000000000000001E-4</v>
      </c>
      <c r="U146" s="9">
        <v>6.9999999999999999E-4</v>
      </c>
    </row>
    <row r="147" spans="1:21">
      <c r="A147" t="s">
        <v>144</v>
      </c>
      <c r="B147" s="7">
        <v>0</v>
      </c>
      <c r="C147" s="7">
        <v>0</v>
      </c>
      <c r="D147" s="7">
        <v>0</v>
      </c>
      <c r="E147" s="7">
        <v>0</v>
      </c>
      <c r="F147" s="7">
        <v>0</v>
      </c>
      <c r="G147" s="7">
        <v>0</v>
      </c>
      <c r="H147" s="9">
        <v>0</v>
      </c>
      <c r="I147" s="7">
        <v>0</v>
      </c>
      <c r="J147" s="7">
        <v>0</v>
      </c>
      <c r="K147" s="7">
        <v>0</v>
      </c>
      <c r="L147" s="7">
        <v>0</v>
      </c>
      <c r="M147" s="9">
        <v>0</v>
      </c>
      <c r="N147" s="9">
        <v>0</v>
      </c>
      <c r="O147" s="7">
        <v>0</v>
      </c>
      <c r="P147" s="7">
        <v>0</v>
      </c>
      <c r="Q147" s="7">
        <v>0</v>
      </c>
      <c r="R147" s="7">
        <v>0</v>
      </c>
      <c r="S147" s="7">
        <v>0</v>
      </c>
      <c r="T147" s="7">
        <v>0</v>
      </c>
      <c r="U147" s="7">
        <v>0</v>
      </c>
    </row>
    <row r="148" spans="1:21">
      <c r="A148" t="s">
        <v>145</v>
      </c>
      <c r="B148" s="7">
        <v>4.0000000000000002E-4</v>
      </c>
      <c r="C148" s="9">
        <v>4.0000000000000002E-4</v>
      </c>
      <c r="D148" s="9">
        <v>2.9999999999999997E-4</v>
      </c>
      <c r="E148" s="7">
        <v>5.0000000000000001E-4</v>
      </c>
      <c r="F148" s="7">
        <v>5.0000000000000001E-4</v>
      </c>
      <c r="G148" s="7">
        <v>2.0000000000000001E-4</v>
      </c>
      <c r="H148" s="7">
        <v>2.9999999999999997E-4</v>
      </c>
      <c r="I148" s="7">
        <v>2.0000000000000001E-4</v>
      </c>
      <c r="J148" s="9">
        <v>2.0000000000000001E-4</v>
      </c>
      <c r="K148" s="7">
        <v>2.0000000000000001E-4</v>
      </c>
      <c r="L148" s="9">
        <v>2.0000000000000001E-4</v>
      </c>
      <c r="M148" s="7">
        <v>2.0000000000000001E-4</v>
      </c>
      <c r="N148" s="7">
        <v>2.0000000000000001E-4</v>
      </c>
      <c r="O148" s="9">
        <v>2.0000000000000001E-4</v>
      </c>
      <c r="P148" s="7">
        <v>0</v>
      </c>
      <c r="Q148" s="7">
        <v>0</v>
      </c>
      <c r="R148" s="7">
        <v>0</v>
      </c>
      <c r="S148" s="7">
        <v>0</v>
      </c>
      <c r="T148" s="7">
        <v>0</v>
      </c>
      <c r="U148" s="7">
        <v>0</v>
      </c>
    </row>
    <row r="149" spans="1:21">
      <c r="A149" t="s">
        <v>146</v>
      </c>
      <c r="B149" s="7">
        <v>2.5999999999999999E-3</v>
      </c>
      <c r="C149" s="9">
        <v>2.8E-3</v>
      </c>
      <c r="D149" s="9">
        <v>2.5999999999999999E-3</v>
      </c>
      <c r="E149" s="7">
        <v>2.7000000000000001E-3</v>
      </c>
      <c r="F149" s="7">
        <v>2.8E-3</v>
      </c>
      <c r="G149" s="7">
        <v>6.9999999999999999E-4</v>
      </c>
      <c r="H149" s="7">
        <v>2.3999999999999998E-3</v>
      </c>
      <c r="I149" s="7">
        <v>2.3E-3</v>
      </c>
      <c r="J149" s="7">
        <v>2.3999999999999998E-3</v>
      </c>
      <c r="K149" s="9">
        <v>2.3999999999999998E-3</v>
      </c>
      <c r="L149" s="9">
        <v>6.9999999999999999E-4</v>
      </c>
      <c r="M149" s="7">
        <v>2.0999999999999999E-3</v>
      </c>
      <c r="N149" s="7">
        <v>2.0999999999999999E-3</v>
      </c>
      <c r="O149" s="9">
        <v>6.9999999999999999E-4</v>
      </c>
      <c r="P149" s="9">
        <v>2.9999999999999997E-4</v>
      </c>
      <c r="Q149" s="9">
        <v>2.0000000000000001E-4</v>
      </c>
      <c r="R149" s="9">
        <v>2.0000000000000001E-4</v>
      </c>
      <c r="S149" s="9">
        <v>2.0000000000000001E-4</v>
      </c>
      <c r="T149" s="9">
        <v>2.9999999999999997E-4</v>
      </c>
      <c r="U149" s="9">
        <v>2.0000000000000001E-4</v>
      </c>
    </row>
    <row r="150" spans="1:21">
      <c r="A150" t="s">
        <v>147</v>
      </c>
      <c r="B150" s="9">
        <v>2.1899999999999999E-2</v>
      </c>
      <c r="C150" s="7">
        <v>2.29E-2</v>
      </c>
      <c r="D150" s="7">
        <v>2.2599999999999999E-2</v>
      </c>
      <c r="E150" s="7">
        <v>2.3699999999999999E-2</v>
      </c>
      <c r="F150" s="7">
        <v>2.4400000000000002E-2</v>
      </c>
      <c r="G150" s="7">
        <v>9.7000000000000003E-3</v>
      </c>
      <c r="H150" s="7">
        <v>2.06E-2</v>
      </c>
      <c r="I150" s="7">
        <v>2.0299999999999999E-2</v>
      </c>
      <c r="J150" s="7">
        <v>2.01E-2</v>
      </c>
      <c r="K150" s="7">
        <v>2.01E-2</v>
      </c>
      <c r="L150" s="9">
        <v>6.1000000000000004E-3</v>
      </c>
      <c r="M150" s="9">
        <v>1.83E-2</v>
      </c>
      <c r="N150" s="9">
        <v>1.8200000000000001E-2</v>
      </c>
      <c r="O150" s="9">
        <v>6.3E-3</v>
      </c>
      <c r="P150" s="9">
        <v>3.7000000000000002E-3</v>
      </c>
      <c r="Q150" s="9">
        <v>2.5000000000000001E-3</v>
      </c>
      <c r="R150" s="9">
        <v>2.8E-3</v>
      </c>
      <c r="S150" s="9">
        <v>2.3999999999999998E-3</v>
      </c>
      <c r="T150" s="9">
        <v>2.8E-3</v>
      </c>
      <c r="U150" s="9">
        <v>2.3E-3</v>
      </c>
    </row>
    <row r="151" spans="1:21">
      <c r="A151" t="s">
        <v>131</v>
      </c>
      <c r="B151" s="7">
        <v>0.05</v>
      </c>
      <c r="C151" s="7">
        <v>5.1200000000000002E-2</v>
      </c>
      <c r="D151" s="7">
        <v>5.11E-2</v>
      </c>
      <c r="E151" s="9">
        <v>0.05</v>
      </c>
      <c r="F151" s="9">
        <v>5.1200000000000002E-2</v>
      </c>
      <c r="G151" s="9">
        <v>2.3400000000000001E-2</v>
      </c>
      <c r="H151" s="9">
        <v>4.5699999999999998E-2</v>
      </c>
      <c r="I151" s="9">
        <v>4.5400000000000003E-2</v>
      </c>
      <c r="J151" s="9">
        <v>4.4400000000000002E-2</v>
      </c>
      <c r="K151" s="7">
        <v>4.48E-2</v>
      </c>
      <c r="L151" s="9">
        <v>1.5100000000000001E-2</v>
      </c>
      <c r="M151" s="9">
        <v>4.1099999999999998E-2</v>
      </c>
      <c r="N151" s="9">
        <v>4.0800000000000003E-2</v>
      </c>
      <c r="O151" s="9">
        <v>1.55E-2</v>
      </c>
      <c r="P151" s="9">
        <v>1.0999999999999999E-2</v>
      </c>
      <c r="Q151" s="9">
        <v>6.8999999999999999E-3</v>
      </c>
      <c r="R151" s="9">
        <v>7.3000000000000001E-3</v>
      </c>
      <c r="S151" s="9">
        <v>6.7000000000000002E-3</v>
      </c>
      <c r="T151" s="9">
        <v>7.3000000000000001E-3</v>
      </c>
      <c r="U151" s="9">
        <v>6.1999999999999998E-3</v>
      </c>
    </row>
    <row r="152" spans="1:21">
      <c r="A152" t="s">
        <v>148</v>
      </c>
      <c r="B152" s="7">
        <v>9.11E-2</v>
      </c>
      <c r="C152" s="9">
        <v>9.1300000000000006E-2</v>
      </c>
      <c r="D152" s="9">
        <v>9.1499999999999998E-2</v>
      </c>
      <c r="E152" s="9">
        <v>8.5199999999999998E-2</v>
      </c>
      <c r="F152" s="9">
        <v>8.5599999999999996E-2</v>
      </c>
      <c r="G152" s="9">
        <v>4.4900000000000002E-2</v>
      </c>
      <c r="H152" s="9">
        <v>7.7899999999999997E-2</v>
      </c>
      <c r="I152" s="9">
        <v>7.8200000000000006E-2</v>
      </c>
      <c r="J152" s="9">
        <v>7.4399999999999994E-2</v>
      </c>
      <c r="K152" s="9">
        <v>7.6100000000000001E-2</v>
      </c>
      <c r="L152" s="9">
        <v>3.1099999999999999E-2</v>
      </c>
      <c r="M152" s="9">
        <v>7.0599999999999996E-2</v>
      </c>
      <c r="N152" s="9">
        <v>6.9699999999999998E-2</v>
      </c>
      <c r="O152" s="9">
        <v>2.9499999999999998E-2</v>
      </c>
      <c r="P152" s="9">
        <v>2.18E-2</v>
      </c>
      <c r="Q152" s="9">
        <v>1.4E-2</v>
      </c>
      <c r="R152" s="9">
        <v>1.44E-2</v>
      </c>
      <c r="S152" s="9">
        <v>1.43E-2</v>
      </c>
      <c r="T152" s="9">
        <v>1.46E-2</v>
      </c>
      <c r="U152" s="9">
        <v>1.32E-2</v>
      </c>
    </row>
    <row r="153" spans="1:21">
      <c r="A153" t="s">
        <v>149</v>
      </c>
      <c r="B153" s="9">
        <v>0.2908</v>
      </c>
      <c r="C153" s="9">
        <v>0.2878</v>
      </c>
      <c r="D153" s="9">
        <v>0.28989999999999999</v>
      </c>
      <c r="E153" s="9">
        <v>0.25590000000000002</v>
      </c>
      <c r="F153" s="9">
        <v>0.25559999999999999</v>
      </c>
      <c r="G153" s="9">
        <v>0.1638</v>
      </c>
      <c r="H153" s="9">
        <v>0.23749999999999999</v>
      </c>
      <c r="I153" s="9">
        <v>0.23680000000000001</v>
      </c>
      <c r="J153" s="9">
        <v>0.22539999999999999</v>
      </c>
      <c r="K153" s="9">
        <v>0.2278</v>
      </c>
      <c r="L153" s="9">
        <v>0.1149</v>
      </c>
      <c r="M153" s="9">
        <v>0.21079999999999999</v>
      </c>
      <c r="N153" s="9">
        <v>0.20930000000000001</v>
      </c>
      <c r="O153" s="9">
        <v>0.11070000000000001</v>
      </c>
      <c r="P153" s="9">
        <v>6.4699999999999994E-2</v>
      </c>
      <c r="Q153" s="9">
        <v>4.4200000000000003E-2</v>
      </c>
      <c r="R153" s="9">
        <v>4.4999999999999998E-2</v>
      </c>
      <c r="S153" s="9">
        <v>4.4499999999999998E-2</v>
      </c>
      <c r="T153" s="9">
        <v>4.6100000000000002E-2</v>
      </c>
      <c r="U153" s="9">
        <v>4.1500000000000002E-2</v>
      </c>
    </row>
    <row r="154" spans="1:21">
      <c r="A154" t="s">
        <v>132</v>
      </c>
      <c r="B154" s="7">
        <v>0.316</v>
      </c>
      <c r="C154" s="9">
        <v>0.31869999999999998</v>
      </c>
      <c r="D154" s="9">
        <v>0.31540000000000001</v>
      </c>
      <c r="E154" s="9">
        <v>0.25659999999999999</v>
      </c>
      <c r="F154" s="9">
        <v>0.25659999999999999</v>
      </c>
      <c r="G154" s="9">
        <v>0.26650000000000001</v>
      </c>
      <c r="H154" s="9">
        <v>0.2329</v>
      </c>
      <c r="I154" s="9">
        <v>0.2321</v>
      </c>
      <c r="J154" s="9">
        <v>0.2228</v>
      </c>
      <c r="K154" s="9">
        <v>0.2228</v>
      </c>
      <c r="L154" s="9">
        <v>0.17480000000000001</v>
      </c>
      <c r="M154" s="9">
        <v>0.2112</v>
      </c>
      <c r="N154" s="9">
        <v>0.21390000000000001</v>
      </c>
      <c r="O154" s="9">
        <v>0.16520000000000001</v>
      </c>
      <c r="P154" s="9">
        <v>7.3599999999999999E-2</v>
      </c>
      <c r="Q154" s="9">
        <v>4.9000000000000002E-2</v>
      </c>
      <c r="R154" s="9">
        <v>4.87E-2</v>
      </c>
      <c r="S154" s="9">
        <v>4.7100000000000003E-2</v>
      </c>
      <c r="T154" s="9">
        <v>4.8000000000000001E-2</v>
      </c>
      <c r="U154" s="9">
        <v>4.3200000000000002E-2</v>
      </c>
    </row>
    <row r="155" spans="1:21">
      <c r="A155" t="s">
        <v>133</v>
      </c>
      <c r="B155" s="7">
        <v>0.22700000000000001</v>
      </c>
      <c r="C155" s="9">
        <v>0.22470000000000001</v>
      </c>
      <c r="D155" s="9">
        <v>0.2261</v>
      </c>
      <c r="E155" s="9">
        <v>0.29149999999999998</v>
      </c>
      <c r="F155" s="9">
        <v>0.29020000000000001</v>
      </c>
      <c r="G155" s="9">
        <v>0.47060000000000002</v>
      </c>
      <c r="H155" s="9">
        <v>0.25380000000000003</v>
      </c>
      <c r="I155" s="9">
        <v>0.2555</v>
      </c>
      <c r="J155" s="9">
        <v>0.2278</v>
      </c>
      <c r="K155" s="9">
        <v>0.2243</v>
      </c>
      <c r="L155" s="9">
        <v>0.41139999999999999</v>
      </c>
      <c r="M155" s="9">
        <v>0.20180000000000001</v>
      </c>
      <c r="N155" s="9">
        <v>0.2021</v>
      </c>
      <c r="O155" s="9">
        <v>0.36849999999999999</v>
      </c>
      <c r="P155" s="9">
        <v>0.34389999999999998</v>
      </c>
      <c r="Q155" s="9">
        <v>0.12809999999999999</v>
      </c>
      <c r="R155" s="9">
        <v>0.12740000000000001</v>
      </c>
      <c r="S155" s="9">
        <v>0.1186</v>
      </c>
      <c r="T155" s="9">
        <v>0.1195</v>
      </c>
      <c r="U155" s="9">
        <v>0.104</v>
      </c>
    </row>
    <row r="156" spans="1:21">
      <c r="A156" t="s">
        <v>134</v>
      </c>
      <c r="B156" s="9">
        <v>2.0000000000000001E-4</v>
      </c>
      <c r="C156" s="9">
        <v>2.0000000000000001E-4</v>
      </c>
      <c r="D156" s="9">
        <v>4.0000000000000002E-4</v>
      </c>
      <c r="E156" s="9">
        <v>3.3799999999999997E-2</v>
      </c>
      <c r="F156" s="9">
        <v>3.3000000000000002E-2</v>
      </c>
      <c r="G156" s="9">
        <v>2.0199999999999999E-2</v>
      </c>
      <c r="H156" s="9">
        <v>0.129</v>
      </c>
      <c r="I156" s="9">
        <v>0.12909999999999999</v>
      </c>
      <c r="J156" s="9">
        <v>0.18240000000000001</v>
      </c>
      <c r="K156" s="9">
        <v>0.18149999999999999</v>
      </c>
      <c r="L156" s="9">
        <v>0.2457</v>
      </c>
      <c r="M156" s="9">
        <v>0.2437</v>
      </c>
      <c r="N156" s="9">
        <v>0.24360000000000001</v>
      </c>
      <c r="O156" s="9">
        <v>0.30330000000000001</v>
      </c>
      <c r="P156" s="9">
        <v>0.48080000000000001</v>
      </c>
      <c r="Q156" s="9">
        <v>0.75480000000000003</v>
      </c>
      <c r="R156" s="9">
        <v>0.75390000000000001</v>
      </c>
      <c r="S156" s="9">
        <v>0.76570000000000005</v>
      </c>
      <c r="T156" s="9">
        <v>0.76100000000000001</v>
      </c>
      <c r="U156" s="9">
        <v>0.78869999999999996</v>
      </c>
    </row>
    <row r="157" spans="1:21">
      <c r="A157" t="s">
        <v>139</v>
      </c>
      <c r="B157" s="9">
        <v>0</v>
      </c>
      <c r="C157" s="9">
        <v>0</v>
      </c>
      <c r="D157" s="9">
        <v>0</v>
      </c>
      <c r="E157" s="9">
        <v>0</v>
      </c>
      <c r="F157" s="9">
        <v>0</v>
      </c>
      <c r="G157" s="9">
        <v>0</v>
      </c>
      <c r="H157" s="9">
        <v>0</v>
      </c>
      <c r="I157" s="9">
        <v>0</v>
      </c>
      <c r="J157" s="9">
        <v>0</v>
      </c>
      <c r="K157" s="9">
        <v>0</v>
      </c>
      <c r="L157" s="7">
        <v>0</v>
      </c>
      <c r="M157" s="9">
        <v>0</v>
      </c>
      <c r="N157" s="9">
        <v>0</v>
      </c>
      <c r="O157" s="7">
        <v>0</v>
      </c>
      <c r="P157" s="7">
        <v>0</v>
      </c>
      <c r="Q157" s="7">
        <v>0</v>
      </c>
      <c r="R157" s="7">
        <v>0</v>
      </c>
      <c r="S157" s="7">
        <v>0</v>
      </c>
      <c r="T157" s="7">
        <v>0</v>
      </c>
      <c r="U157" s="7">
        <v>0</v>
      </c>
    </row>
    <row r="158" spans="1:21">
      <c r="B158" s="9"/>
      <c r="C158" s="9"/>
      <c r="D158" s="9"/>
      <c r="E158" s="9"/>
      <c r="F158" s="9"/>
      <c r="G158" s="9"/>
      <c r="H158" s="9"/>
      <c r="I158" s="9"/>
      <c r="J158" s="9"/>
      <c r="K158" s="9"/>
      <c r="L158" s="7"/>
      <c r="M158" s="9"/>
      <c r="N158" s="9"/>
      <c r="O158" s="7"/>
      <c r="P158" s="7"/>
      <c r="Q158" s="7"/>
      <c r="R158" s="7"/>
      <c r="S158" s="7"/>
      <c r="T158" s="7"/>
      <c r="U158" s="7"/>
    </row>
    <row r="159" spans="1:21">
      <c r="A159" s="14" t="s">
        <v>261</v>
      </c>
      <c r="B159" s="9"/>
      <c r="C159" s="9"/>
      <c r="D159" s="9"/>
      <c r="E159" s="9"/>
      <c r="F159" s="9"/>
      <c r="G159" s="9"/>
      <c r="H159" s="9"/>
      <c r="I159" s="9"/>
      <c r="J159" s="9"/>
      <c r="K159" s="9"/>
      <c r="L159" s="7"/>
      <c r="M159" s="9"/>
      <c r="N159" s="9"/>
      <c r="O159" s="7"/>
      <c r="P159" s="7"/>
      <c r="Q159" s="7"/>
      <c r="R159" s="7"/>
      <c r="S159" s="7"/>
      <c r="T159" s="7"/>
      <c r="U159" s="7"/>
    </row>
    <row r="160" spans="1:21">
      <c r="A160" t="s">
        <v>316</v>
      </c>
      <c r="B160" s="5">
        <f>B165/25</f>
        <v>3305.6880000000001</v>
      </c>
      <c r="C160" s="5">
        <f t="shared" ref="C160:U164" si="15">C165/25</f>
        <v>3279.6752000000001</v>
      </c>
      <c r="D160" s="5">
        <f t="shared" si="15"/>
        <v>3408.1756</v>
      </c>
      <c r="E160" s="5">
        <f t="shared" si="15"/>
        <v>3844.2196000000004</v>
      </c>
      <c r="F160" s="5">
        <f t="shared" si="15"/>
        <v>3857.0547999999999</v>
      </c>
      <c r="G160" s="5">
        <f t="shared" si="15"/>
        <v>4023.3271999999997</v>
      </c>
      <c r="H160" s="5">
        <f t="shared" si="15"/>
        <v>3785.6132000000002</v>
      </c>
      <c r="I160" s="5">
        <f t="shared" si="15"/>
        <v>3620.1976</v>
      </c>
      <c r="J160" s="5">
        <f t="shared" si="15"/>
        <v>3629.1091999999999</v>
      </c>
      <c r="K160" s="5">
        <f t="shared" si="15"/>
        <v>3671.1559999999999</v>
      </c>
      <c r="L160" s="5">
        <f t="shared" si="15"/>
        <v>3431.0984000000003</v>
      </c>
      <c r="M160" s="5">
        <f t="shared" si="15"/>
        <v>3582.5228000000002</v>
      </c>
      <c r="N160" s="5">
        <f t="shared" si="15"/>
        <v>3582.4267999999997</v>
      </c>
      <c r="O160" s="5">
        <f t="shared" si="15"/>
        <v>3286.9335999999998</v>
      </c>
      <c r="P160" s="5">
        <f t="shared" si="15"/>
        <v>3347.45</v>
      </c>
      <c r="Q160" s="5">
        <f t="shared" si="15"/>
        <v>3464.6820000000002</v>
      </c>
      <c r="R160" s="5">
        <f t="shared" si="15"/>
        <v>3398.6732000000002</v>
      </c>
      <c r="S160" s="5">
        <f t="shared" si="15"/>
        <v>3434.2687999999998</v>
      </c>
      <c r="T160" s="5">
        <f t="shared" si="15"/>
        <v>3437.9515999999999</v>
      </c>
      <c r="U160" s="5">
        <f t="shared" si="15"/>
        <v>3460.5603999999998</v>
      </c>
    </row>
    <row r="161" spans="1:21">
      <c r="A161" t="s">
        <v>317</v>
      </c>
      <c r="B161" s="5">
        <f t="shared" ref="B161:P164" si="16">B166/25</f>
        <v>7131.6415999999999</v>
      </c>
      <c r="C161" s="5">
        <f t="shared" si="16"/>
        <v>7312.9264000000003</v>
      </c>
      <c r="D161" s="5">
        <f t="shared" si="16"/>
        <v>6926.8771999999999</v>
      </c>
      <c r="E161" s="5">
        <f t="shared" si="16"/>
        <v>5995.5571999999993</v>
      </c>
      <c r="F161" s="5">
        <f t="shared" si="16"/>
        <v>5945.06</v>
      </c>
      <c r="G161" s="5">
        <f t="shared" si="16"/>
        <v>5293.7812000000004</v>
      </c>
      <c r="H161" s="5">
        <f t="shared" si="16"/>
        <v>6124.6404000000002</v>
      </c>
      <c r="I161" s="5">
        <f t="shared" si="16"/>
        <v>6207.8616000000002</v>
      </c>
      <c r="J161" s="5">
        <f t="shared" si="16"/>
        <v>6084.1068000000005</v>
      </c>
      <c r="K161" s="5">
        <f t="shared" si="16"/>
        <v>6031.2356000000009</v>
      </c>
      <c r="L161" s="5">
        <f t="shared" si="16"/>
        <v>5551.6736000000001</v>
      </c>
      <c r="M161" s="5">
        <f t="shared" si="16"/>
        <v>5868.3716000000004</v>
      </c>
      <c r="N161" s="5">
        <f t="shared" si="16"/>
        <v>6074.6395999999995</v>
      </c>
      <c r="O161" s="5">
        <f t="shared" si="16"/>
        <v>5720.3040000000001</v>
      </c>
      <c r="P161" s="5">
        <f t="shared" si="16"/>
        <v>5166.1364000000003</v>
      </c>
      <c r="Q161" s="5">
        <f t="shared" si="15"/>
        <v>5002.5923999999995</v>
      </c>
      <c r="R161" s="5">
        <f t="shared" si="15"/>
        <v>5073.2348000000002</v>
      </c>
      <c r="S161" s="5">
        <f t="shared" si="15"/>
        <v>4987.4940000000006</v>
      </c>
      <c r="T161" s="5">
        <f t="shared" si="15"/>
        <v>5001.348</v>
      </c>
      <c r="U161" s="5">
        <f t="shared" si="15"/>
        <v>5095.2687999999998</v>
      </c>
    </row>
    <row r="162" spans="1:21">
      <c r="A162" t="s">
        <v>318</v>
      </c>
      <c r="B162" s="5">
        <f t="shared" si="16"/>
        <v>345.2364</v>
      </c>
      <c r="C162" s="5">
        <f t="shared" si="16"/>
        <v>302.50360000000001</v>
      </c>
      <c r="D162" s="5">
        <f t="shared" si="16"/>
        <v>358.99639999999999</v>
      </c>
      <c r="E162" s="5">
        <f t="shared" si="16"/>
        <v>269.64479999999998</v>
      </c>
      <c r="F162" s="5">
        <f t="shared" si="16"/>
        <v>180.07319999999999</v>
      </c>
      <c r="G162" s="5">
        <f t="shared" si="16"/>
        <v>192.92520000000002</v>
      </c>
      <c r="H162" s="5">
        <f t="shared" si="16"/>
        <v>160.99600000000001</v>
      </c>
      <c r="I162" s="5">
        <f t="shared" si="16"/>
        <v>297.00279999999998</v>
      </c>
      <c r="J162" s="5">
        <f t="shared" si="16"/>
        <v>266.17080000000004</v>
      </c>
      <c r="K162" s="5">
        <f t="shared" si="16"/>
        <v>261.54919999999998</v>
      </c>
      <c r="L162" s="5">
        <f t="shared" si="16"/>
        <v>327.64080000000001</v>
      </c>
      <c r="M162" s="5">
        <f t="shared" si="16"/>
        <v>343.07559999999995</v>
      </c>
      <c r="N162" s="5">
        <f t="shared" si="16"/>
        <v>421.85599999999999</v>
      </c>
      <c r="O162" s="5">
        <f t="shared" si="16"/>
        <v>374.89639999999997</v>
      </c>
      <c r="P162" s="5">
        <f t="shared" si="16"/>
        <v>696.25639999999999</v>
      </c>
      <c r="Q162" s="5">
        <f t="shared" si="15"/>
        <v>717.18679999999995</v>
      </c>
      <c r="R162" s="5">
        <f t="shared" si="15"/>
        <v>698.65279999999996</v>
      </c>
      <c r="S162" s="5">
        <f t="shared" si="15"/>
        <v>787.95600000000002</v>
      </c>
      <c r="T162" s="5">
        <f t="shared" si="15"/>
        <v>729.72960000000012</v>
      </c>
      <c r="U162" s="5">
        <f t="shared" si="15"/>
        <v>681.64520000000005</v>
      </c>
    </row>
    <row r="163" spans="1:21">
      <c r="A163" t="s">
        <v>319</v>
      </c>
      <c r="B163" s="5">
        <f t="shared" si="16"/>
        <v>18.9316</v>
      </c>
      <c r="C163" s="5">
        <f t="shared" si="16"/>
        <v>11.218800000000002</v>
      </c>
      <c r="D163" s="5">
        <f t="shared" si="16"/>
        <v>0.46240000000000003</v>
      </c>
      <c r="E163" s="5">
        <f t="shared" si="16"/>
        <v>0.99879999999999991</v>
      </c>
      <c r="F163" s="5">
        <f t="shared" si="16"/>
        <v>9.5999999999999992E-3</v>
      </c>
      <c r="G163" s="5">
        <f t="shared" si="16"/>
        <v>0.01</v>
      </c>
      <c r="H163" s="5">
        <f t="shared" si="16"/>
        <v>9.6059999999999999</v>
      </c>
      <c r="I163" s="5">
        <f t="shared" si="16"/>
        <v>2.4104000000000001</v>
      </c>
      <c r="J163" s="5">
        <f t="shared" si="16"/>
        <v>9.2156000000000002</v>
      </c>
      <c r="K163" s="5">
        <f t="shared" si="16"/>
        <v>9.5999999999999992E-3</v>
      </c>
      <c r="L163" s="5">
        <f t="shared" si="16"/>
        <v>0.01</v>
      </c>
      <c r="M163" s="5">
        <f t="shared" si="16"/>
        <v>6.0055999999999994</v>
      </c>
      <c r="N163" s="5">
        <f t="shared" si="16"/>
        <v>5.7427999999999999</v>
      </c>
      <c r="O163" s="5">
        <f t="shared" si="16"/>
        <v>4.4980000000000002</v>
      </c>
      <c r="P163" s="5">
        <f t="shared" si="16"/>
        <v>38.626399999999997</v>
      </c>
      <c r="Q163" s="5">
        <f t="shared" si="15"/>
        <v>44.231200000000001</v>
      </c>
      <c r="R163" s="5">
        <f t="shared" si="15"/>
        <v>39.814799999999998</v>
      </c>
      <c r="S163" s="5">
        <f t="shared" si="15"/>
        <v>43.808799999999998</v>
      </c>
      <c r="T163" s="5">
        <f t="shared" si="15"/>
        <v>50.412799999999997</v>
      </c>
      <c r="U163" s="5">
        <f t="shared" si="15"/>
        <v>36.900799999999997</v>
      </c>
    </row>
    <row r="164" spans="1:21">
      <c r="A164" t="s">
        <v>266</v>
      </c>
      <c r="B164" s="5">
        <f t="shared" si="16"/>
        <v>10801.497599999997</v>
      </c>
      <c r="C164" s="5">
        <f t="shared" si="16"/>
        <v>10906.324000000001</v>
      </c>
      <c r="D164" s="5">
        <f t="shared" si="16"/>
        <v>10694.5116</v>
      </c>
      <c r="E164" s="5">
        <f t="shared" si="16"/>
        <v>10110.420399999999</v>
      </c>
      <c r="F164" s="5">
        <f t="shared" si="16"/>
        <v>9982.1975999999995</v>
      </c>
      <c r="G164" s="5">
        <f t="shared" si="16"/>
        <v>9510.0435999999991</v>
      </c>
      <c r="H164" s="5">
        <f t="shared" si="16"/>
        <v>10080.855600000001</v>
      </c>
      <c r="I164" s="5">
        <f t="shared" si="16"/>
        <v>10127.472400000001</v>
      </c>
      <c r="J164" s="5">
        <f t="shared" si="16"/>
        <v>9988.6024000000016</v>
      </c>
      <c r="K164" s="5">
        <f t="shared" si="16"/>
        <v>9963.9503999999997</v>
      </c>
      <c r="L164" s="5">
        <f t="shared" si="16"/>
        <v>9310.4227999999985</v>
      </c>
      <c r="M164" s="5">
        <f t="shared" si="16"/>
        <v>9799.9755999999998</v>
      </c>
      <c r="N164" s="5">
        <f t="shared" si="16"/>
        <v>10084.665199999999</v>
      </c>
      <c r="O164" s="5">
        <f t="shared" si="16"/>
        <v>9386.6320000000014</v>
      </c>
      <c r="P164" s="5">
        <f t="shared" si="16"/>
        <v>9248.4691999999995</v>
      </c>
      <c r="Q164" s="5">
        <f t="shared" si="15"/>
        <v>9228.6923999999981</v>
      </c>
      <c r="R164" s="5">
        <f t="shared" si="15"/>
        <v>9210.3756000000012</v>
      </c>
      <c r="S164" s="5">
        <f t="shared" si="15"/>
        <v>9253.5275999999994</v>
      </c>
      <c r="T164" s="5">
        <f t="shared" si="15"/>
        <v>9219.4419999999991</v>
      </c>
      <c r="U164" s="5">
        <f t="shared" si="15"/>
        <v>9274.3751999999986</v>
      </c>
    </row>
    <row r="165" spans="1:21">
      <c r="A165" t="s">
        <v>262</v>
      </c>
      <c r="B165" s="5">
        <v>82642.2</v>
      </c>
      <c r="C165" s="5">
        <v>81991.88</v>
      </c>
      <c r="D165" s="5">
        <v>85204.39</v>
      </c>
      <c r="E165" s="5">
        <v>96105.49</v>
      </c>
      <c r="F165" s="5">
        <v>96426.37</v>
      </c>
      <c r="G165" s="5">
        <v>100583.18</v>
      </c>
      <c r="H165" s="5">
        <v>94640.33</v>
      </c>
      <c r="I165" s="5">
        <v>90504.94</v>
      </c>
      <c r="J165" s="5">
        <v>90727.73</v>
      </c>
      <c r="K165" s="5">
        <v>91778.9</v>
      </c>
      <c r="L165" s="5">
        <v>85777.46</v>
      </c>
      <c r="M165" s="5">
        <v>89563.07</v>
      </c>
      <c r="N165" s="5">
        <v>89560.67</v>
      </c>
      <c r="O165" s="5">
        <v>82173.34</v>
      </c>
      <c r="P165" s="5">
        <v>83686.25</v>
      </c>
      <c r="Q165" s="5">
        <v>86617.05</v>
      </c>
      <c r="R165" s="5">
        <v>84966.83</v>
      </c>
      <c r="S165" s="5">
        <v>85856.72</v>
      </c>
      <c r="T165" s="5">
        <v>85948.79</v>
      </c>
      <c r="U165" s="5">
        <v>86514.01</v>
      </c>
    </row>
    <row r="166" spans="1:21">
      <c r="A166" t="s">
        <v>263</v>
      </c>
      <c r="B166" s="5">
        <v>178291.04</v>
      </c>
      <c r="C166" s="5">
        <v>182823.16</v>
      </c>
      <c r="D166" s="5">
        <v>173171.93</v>
      </c>
      <c r="E166" s="5">
        <v>149888.93</v>
      </c>
      <c r="F166" s="5">
        <v>148626.5</v>
      </c>
      <c r="G166" s="5">
        <v>132344.53</v>
      </c>
      <c r="H166" s="5">
        <v>153116.01</v>
      </c>
      <c r="I166" s="5">
        <v>155196.54</v>
      </c>
      <c r="J166" s="5">
        <v>152102.67000000001</v>
      </c>
      <c r="K166" s="5">
        <v>150780.89000000001</v>
      </c>
      <c r="L166" s="5">
        <v>138791.84</v>
      </c>
      <c r="M166" s="5">
        <v>146709.29</v>
      </c>
      <c r="N166" s="5">
        <v>151865.99</v>
      </c>
      <c r="O166" s="5">
        <v>143007.6</v>
      </c>
      <c r="P166" s="5">
        <v>129153.41</v>
      </c>
      <c r="Q166" s="5">
        <v>125064.81</v>
      </c>
      <c r="R166" s="5">
        <v>126830.87</v>
      </c>
      <c r="S166" s="5">
        <v>124687.35</v>
      </c>
      <c r="T166" s="5">
        <v>125033.7</v>
      </c>
      <c r="U166" s="5">
        <v>127381.72</v>
      </c>
    </row>
    <row r="167" spans="1:21">
      <c r="A167" t="s">
        <v>264</v>
      </c>
      <c r="B167" s="5">
        <v>8630.91</v>
      </c>
      <c r="C167" s="5">
        <v>7562.59</v>
      </c>
      <c r="D167" s="5">
        <v>8974.91</v>
      </c>
      <c r="E167" s="5">
        <v>6741.12</v>
      </c>
      <c r="F167" s="5">
        <v>4501.83</v>
      </c>
      <c r="G167" s="5">
        <v>4823.13</v>
      </c>
      <c r="H167" s="5">
        <v>4024.9</v>
      </c>
      <c r="I167" s="5">
        <v>7425.07</v>
      </c>
      <c r="J167" s="5">
        <v>6654.27</v>
      </c>
      <c r="K167" s="5">
        <v>6538.73</v>
      </c>
      <c r="L167" s="5">
        <v>8191.02</v>
      </c>
      <c r="M167" s="5">
        <v>8576.89</v>
      </c>
      <c r="N167" s="5">
        <v>10546.4</v>
      </c>
      <c r="O167" s="5">
        <v>9372.41</v>
      </c>
      <c r="P167" s="5">
        <v>17406.41</v>
      </c>
      <c r="Q167" s="5">
        <v>17929.669999999998</v>
      </c>
      <c r="R167" s="5">
        <v>17466.32</v>
      </c>
      <c r="S167" s="5">
        <v>19698.900000000001</v>
      </c>
      <c r="T167" s="5">
        <v>18243.240000000002</v>
      </c>
      <c r="U167" s="5">
        <v>17041.13</v>
      </c>
    </row>
    <row r="168" spans="1:21">
      <c r="A168" t="s">
        <v>265</v>
      </c>
      <c r="B168" s="5">
        <v>473.29</v>
      </c>
      <c r="C168" s="5">
        <v>280.47000000000003</v>
      </c>
      <c r="D168" s="5">
        <v>11.56</v>
      </c>
      <c r="E168" s="5">
        <v>24.97</v>
      </c>
      <c r="F168" s="5">
        <v>0.24</v>
      </c>
      <c r="G168" s="5">
        <v>0.25</v>
      </c>
      <c r="H168" s="5">
        <v>240.15</v>
      </c>
      <c r="I168" s="5">
        <v>60.26</v>
      </c>
      <c r="J168" s="5">
        <v>230.39</v>
      </c>
      <c r="K168" s="5">
        <v>0.24</v>
      </c>
      <c r="L168" s="5">
        <v>0.25</v>
      </c>
      <c r="M168" s="5">
        <v>150.13999999999999</v>
      </c>
      <c r="N168" s="5">
        <v>143.57</v>
      </c>
      <c r="O168" s="5">
        <v>112.45</v>
      </c>
      <c r="P168" s="5">
        <v>965.66</v>
      </c>
      <c r="Q168" s="5">
        <v>1105.78</v>
      </c>
      <c r="R168" s="5">
        <v>995.37</v>
      </c>
      <c r="S168" s="5">
        <v>1095.22</v>
      </c>
      <c r="T168" s="5">
        <v>1260.32</v>
      </c>
      <c r="U168" s="5">
        <v>922.52</v>
      </c>
    </row>
    <row r="169" spans="1:21">
      <c r="A169" t="s">
        <v>266</v>
      </c>
      <c r="B169" s="5">
        <f t="shared" ref="B169:U169" si="17">SUM(B165:B168)</f>
        <v>270037.43999999994</v>
      </c>
      <c r="C169" s="5">
        <f t="shared" si="17"/>
        <v>272658.10000000003</v>
      </c>
      <c r="D169" s="5">
        <f t="shared" si="17"/>
        <v>267362.78999999998</v>
      </c>
      <c r="E169" s="5">
        <f t="shared" si="17"/>
        <v>252760.50999999998</v>
      </c>
      <c r="F169" s="5">
        <f t="shared" si="17"/>
        <v>249554.93999999997</v>
      </c>
      <c r="G169" s="5">
        <f t="shared" si="17"/>
        <v>237751.09</v>
      </c>
      <c r="H169" s="5">
        <f t="shared" si="17"/>
        <v>252021.39</v>
      </c>
      <c r="I169" s="5">
        <f t="shared" si="17"/>
        <v>253186.81000000003</v>
      </c>
      <c r="J169" s="5">
        <f t="shared" si="17"/>
        <v>249715.06000000003</v>
      </c>
      <c r="K169" s="5">
        <f t="shared" si="17"/>
        <v>249098.76</v>
      </c>
      <c r="L169" s="5">
        <f t="shared" si="17"/>
        <v>232760.56999999998</v>
      </c>
      <c r="M169" s="5">
        <f t="shared" si="17"/>
        <v>244999.39</v>
      </c>
      <c r="N169" s="5">
        <f t="shared" si="17"/>
        <v>252116.62999999998</v>
      </c>
      <c r="O169" s="5">
        <f t="shared" si="17"/>
        <v>234665.80000000002</v>
      </c>
      <c r="P169" s="5">
        <f t="shared" si="17"/>
        <v>231211.73</v>
      </c>
      <c r="Q169" s="5">
        <f t="shared" si="17"/>
        <v>230717.30999999997</v>
      </c>
      <c r="R169" s="5">
        <f t="shared" si="17"/>
        <v>230259.39</v>
      </c>
      <c r="S169" s="5">
        <f t="shared" si="17"/>
        <v>231338.19</v>
      </c>
      <c r="T169" s="5">
        <f t="shared" si="17"/>
        <v>230486.05</v>
      </c>
      <c r="U169" s="5">
        <f t="shared" si="17"/>
        <v>231859.37999999998</v>
      </c>
    </row>
    <row r="170" spans="1:21">
      <c r="B170" s="9"/>
      <c r="C170" s="9"/>
      <c r="D170" s="9"/>
      <c r="E170" s="9"/>
      <c r="F170" s="9"/>
      <c r="G170" s="9"/>
      <c r="H170" s="9"/>
      <c r="I170" s="9"/>
      <c r="J170" s="9"/>
      <c r="K170" s="9"/>
      <c r="L170" s="7"/>
      <c r="M170" s="9"/>
      <c r="N170" s="9"/>
      <c r="O170" s="7"/>
      <c r="P170" s="7"/>
      <c r="Q170" s="7"/>
      <c r="R170" s="7"/>
      <c r="S170" s="7"/>
      <c r="T170" s="7"/>
      <c r="U170" s="7"/>
    </row>
    <row r="171" spans="1:21">
      <c r="A171" s="14" t="s">
        <v>155</v>
      </c>
      <c r="Q171" s="7"/>
      <c r="R171" s="7"/>
      <c r="S171" s="7"/>
      <c r="T171" s="7"/>
      <c r="U171" s="7"/>
    </row>
    <row r="172" spans="1:21">
      <c r="A172" t="s">
        <v>160</v>
      </c>
      <c r="B172">
        <f>Assumptions!B2</f>
        <v>25</v>
      </c>
      <c r="Q172" s="7"/>
      <c r="R172" s="7"/>
      <c r="S172" s="7"/>
      <c r="T172" s="7"/>
      <c r="U172" s="7"/>
    </row>
    <row r="173" spans="1:21">
      <c r="A173" t="s">
        <v>2</v>
      </c>
      <c r="B173" s="3">
        <f>Assumptions!B3</f>
        <v>0.03</v>
      </c>
      <c r="C173" s="7"/>
      <c r="D173" s="7"/>
      <c r="E173" s="7"/>
      <c r="F173" s="7"/>
      <c r="G173" s="7"/>
      <c r="H173" s="7"/>
      <c r="I173" s="7"/>
      <c r="J173" s="7"/>
      <c r="K173" s="7"/>
      <c r="L173" s="7"/>
      <c r="M173" s="7"/>
      <c r="N173" s="7"/>
      <c r="O173" s="7"/>
      <c r="P173" s="7"/>
    </row>
    <row r="174" spans="1:21">
      <c r="A174" t="s">
        <v>154</v>
      </c>
      <c r="B174" s="9">
        <f>Assumptions!B4</f>
        <v>0.01</v>
      </c>
      <c r="C174" s="7"/>
      <c r="D174" s="7"/>
      <c r="E174" s="7"/>
      <c r="F174" s="7"/>
      <c r="G174" s="7"/>
      <c r="H174" s="7"/>
      <c r="I174" s="7"/>
      <c r="J174" s="7"/>
      <c r="K174" s="7"/>
      <c r="L174" s="7"/>
      <c r="M174" s="7"/>
      <c r="N174" s="7"/>
      <c r="O174" s="7"/>
      <c r="P174" s="7"/>
    </row>
    <row r="175" spans="1:21">
      <c r="A175" t="s">
        <v>162</v>
      </c>
      <c r="B175">
        <f>Assumptions!B5</f>
        <v>1</v>
      </c>
      <c r="C175" s="9"/>
      <c r="D175" s="9"/>
      <c r="E175" s="9"/>
      <c r="F175" s="9"/>
      <c r="G175" s="9"/>
      <c r="H175" s="9"/>
      <c r="I175" s="9"/>
      <c r="J175" s="9"/>
      <c r="K175" s="9"/>
      <c r="L175" s="9"/>
      <c r="M175" s="9"/>
      <c r="N175" s="9"/>
      <c r="O175" s="9"/>
      <c r="P175" s="9"/>
    </row>
    <row r="176" spans="1:21">
      <c r="A176" t="s">
        <v>99</v>
      </c>
      <c r="B176" s="4">
        <f>Assumptions!B6</f>
        <v>7.99</v>
      </c>
      <c r="C176" s="15"/>
      <c r="D176" s="15"/>
      <c r="E176" s="15"/>
      <c r="F176" s="15"/>
      <c r="G176" s="15"/>
      <c r="H176" s="15"/>
      <c r="I176" s="15"/>
      <c r="J176" s="15"/>
      <c r="K176" s="15"/>
      <c r="L176" s="15"/>
      <c r="M176" s="15"/>
      <c r="N176" s="15"/>
      <c r="O176" s="15"/>
      <c r="P176" s="15"/>
    </row>
    <row r="177" spans="1:16">
      <c r="A177" t="s">
        <v>98</v>
      </c>
      <c r="B177" s="4">
        <f>Assumptions!B7</f>
        <v>7.163333333333334</v>
      </c>
      <c r="C177" s="15"/>
      <c r="D177" s="15"/>
      <c r="E177" s="15"/>
      <c r="F177" s="15"/>
      <c r="G177" s="15"/>
      <c r="H177" s="15"/>
      <c r="I177" s="15"/>
      <c r="J177" s="15"/>
      <c r="K177" s="15"/>
      <c r="L177" s="15"/>
      <c r="M177" s="15"/>
      <c r="N177" s="15"/>
      <c r="O177" s="15"/>
      <c r="P177" s="15"/>
    </row>
    <row r="178" spans="1:16">
      <c r="A178" t="s">
        <v>102</v>
      </c>
      <c r="B178">
        <v>134000</v>
      </c>
    </row>
    <row r="179" spans="1:16">
      <c r="A179" t="s">
        <v>103</v>
      </c>
      <c r="B179">
        <v>2.93071E-4</v>
      </c>
    </row>
    <row r="180" spans="1:16">
      <c r="A180" t="s">
        <v>228</v>
      </c>
      <c r="B180">
        <f>Assumptions!B10</f>
        <v>186075.58976888133</v>
      </c>
    </row>
    <row r="181" spans="1:16">
      <c r="A181" t="s">
        <v>285</v>
      </c>
      <c r="B181" s="11">
        <f>Assumptions!B11</f>
        <v>-2655676.2110055005</v>
      </c>
    </row>
    <row r="182" spans="1:16">
      <c r="A182" t="s">
        <v>235</v>
      </c>
      <c r="B182" s="11">
        <f>Assumptions!B12</f>
        <v>-13815874.877344536</v>
      </c>
    </row>
    <row r="183" spans="1:16">
      <c r="A183" t="s">
        <v>234</v>
      </c>
      <c r="B183" s="11">
        <f>Assumptions!B13</f>
        <v>-6752037.5898857638</v>
      </c>
    </row>
    <row r="184" spans="1:16">
      <c r="A184" t="s">
        <v>229</v>
      </c>
      <c r="B184" s="11">
        <f>Assumptions!B14</f>
        <v>21141875662.789482</v>
      </c>
    </row>
    <row r="185" spans="1:16">
      <c r="B185" s="39"/>
      <c r="C185" s="39"/>
      <c r="D185" s="9"/>
      <c r="E185" s="9"/>
      <c r="F185" s="9"/>
      <c r="G185" s="9"/>
      <c r="H185" s="9"/>
      <c r="I185" s="9"/>
      <c r="J185" s="9"/>
      <c r="K185" s="9"/>
      <c r="L185" s="9"/>
      <c r="M185" s="9"/>
      <c r="N185" s="9"/>
      <c r="O185" s="9"/>
      <c r="P185" s="9"/>
    </row>
    <row r="186" spans="1:16">
      <c r="A186" t="s">
        <v>215</v>
      </c>
      <c r="B186" s="39">
        <f>Assumptions!B16</f>
        <v>0.14929999999999999</v>
      </c>
      <c r="D186" s="7"/>
      <c r="E186" s="7"/>
      <c r="F186" s="7"/>
      <c r="G186" s="7"/>
      <c r="H186" s="7"/>
      <c r="I186" s="7"/>
      <c r="J186" s="7"/>
      <c r="K186" s="7"/>
      <c r="L186" s="7"/>
      <c r="M186" s="7"/>
      <c r="N186" s="7"/>
      <c r="O186" s="7"/>
      <c r="P186" s="7"/>
    </row>
    <row r="187" spans="1:16">
      <c r="A187" t="s">
        <v>215</v>
      </c>
      <c r="B187" s="39">
        <f>Assumptions!B17</f>
        <v>-0.90090000000000003</v>
      </c>
    </row>
    <row r="188" spans="1:16">
      <c r="A188" t="s">
        <v>215</v>
      </c>
      <c r="B188" s="39">
        <f>Assumptions!B18</f>
        <v>16.515000000000001</v>
      </c>
    </row>
    <row r="189" spans="1:16">
      <c r="B189" s="39"/>
      <c r="C189" s="39"/>
    </row>
    <row r="190" spans="1:16">
      <c r="A190" t="s">
        <v>216</v>
      </c>
      <c r="B190" s="39">
        <f>Assumptions!B20</f>
        <v>0.1123</v>
      </c>
      <c r="C190" s="39"/>
    </row>
    <row r="191" spans="1:16">
      <c r="A191" t="s">
        <v>216</v>
      </c>
      <c r="B191" s="39">
        <f>Assumptions!B21</f>
        <v>-0.6774</v>
      </c>
      <c r="C191" s="39"/>
    </row>
    <row r="192" spans="1:16">
      <c r="A192" t="s">
        <v>216</v>
      </c>
      <c r="B192" s="39">
        <f>Assumptions!B22</f>
        <v>12.417999999999999</v>
      </c>
      <c r="C192" s="39"/>
    </row>
    <row r="193" spans="1:3">
      <c r="B193" s="39"/>
      <c r="C193" s="39"/>
    </row>
    <row r="194" spans="1:3">
      <c r="A194" t="s">
        <v>217</v>
      </c>
      <c r="B194" s="5">
        <f>Assumptions!B24</f>
        <v>1747196.0752000001</v>
      </c>
      <c r="C194" s="39"/>
    </row>
    <row r="195" spans="1:3">
      <c r="A195" t="s">
        <v>223</v>
      </c>
      <c r="B195" s="5">
        <f>Assumptions!B25</f>
        <v>2813162.6651999997</v>
      </c>
    </row>
    <row r="197" spans="1:3">
      <c r="A197" t="s">
        <v>283</v>
      </c>
      <c r="B197" s="5">
        <f>B105/25</f>
        <v>1485116.6884000001</v>
      </c>
    </row>
    <row r="198" spans="1:3">
      <c r="A198" t="s">
        <v>284</v>
      </c>
      <c r="B198" s="5">
        <f>(B36+B35)/25</f>
        <v>1547239.44</v>
      </c>
    </row>
    <row r="199" spans="1:3">
      <c r="B199" s="5"/>
    </row>
    <row r="200" spans="1:3">
      <c r="A200" t="s">
        <v>267</v>
      </c>
      <c r="B200">
        <v>80000</v>
      </c>
    </row>
    <row r="201" spans="1:3">
      <c r="A201" t="s">
        <v>272</v>
      </c>
      <c r="B201">
        <v>410.53</v>
      </c>
    </row>
    <row r="202" spans="1:3">
      <c r="A202" t="s">
        <v>273</v>
      </c>
      <c r="B202">
        <v>105.26</v>
      </c>
    </row>
    <row r="204" spans="1:3">
      <c r="A204" t="s">
        <v>271</v>
      </c>
      <c r="B204" s="11">
        <v>15.780750000000001</v>
      </c>
    </row>
    <row r="205" spans="1:3">
      <c r="A205" t="s">
        <v>270</v>
      </c>
      <c r="B205" s="11">
        <v>16.452750000000002</v>
      </c>
    </row>
    <row r="206" spans="1:3">
      <c r="A206" t="s">
        <v>268</v>
      </c>
      <c r="B206" s="11">
        <v>16.758750000000003</v>
      </c>
    </row>
    <row r="207" spans="1:3">
      <c r="A207" t="s">
        <v>269</v>
      </c>
      <c r="B207" s="11">
        <v>17.142244565217393</v>
      </c>
    </row>
    <row r="209" spans="1:21">
      <c r="A209" t="s">
        <v>335</v>
      </c>
      <c r="B209" s="11">
        <f>Assumptions!B36</f>
        <v>560000</v>
      </c>
    </row>
    <row r="210" spans="1:21">
      <c r="A210" t="s">
        <v>326</v>
      </c>
      <c r="B210" s="54">
        <f>Assumptions!B37</f>
        <v>17500</v>
      </c>
    </row>
    <row r="211" spans="1:21">
      <c r="A211" t="s">
        <v>329</v>
      </c>
      <c r="B211" s="11">
        <f>Assumptions!B38</f>
        <v>0.54</v>
      </c>
    </row>
    <row r="213" spans="1:21">
      <c r="A213" t="s">
        <v>221</v>
      </c>
      <c r="B213" s="5">
        <f>1-B197/B194</f>
        <v>0.14999998598897946</v>
      </c>
    </row>
    <row r="214" spans="1:21">
      <c r="A214" t="s">
        <v>220</v>
      </c>
      <c r="B214" s="5">
        <f>1-B198/B195</f>
        <v>0.45000000919250072</v>
      </c>
    </row>
    <row r="216" spans="1:21">
      <c r="A216" t="s">
        <v>218</v>
      </c>
      <c r="B216" s="4">
        <f>B188*(B213^2)+B213*B187+B186</f>
        <v>0.38575244320493035</v>
      </c>
    </row>
    <row r="217" spans="1:21">
      <c r="A217" t="s">
        <v>219</v>
      </c>
      <c r="B217" s="4">
        <f>B192*(B214^2)+B214*B191+B190</f>
        <v>2.3221150965102271</v>
      </c>
    </row>
    <row r="218" spans="1:21">
      <c r="B218" s="4"/>
      <c r="C218" s="5"/>
      <c r="D218" s="5"/>
      <c r="E218" s="5"/>
      <c r="F218" s="5"/>
      <c r="G218" s="5"/>
      <c r="H218" s="5"/>
      <c r="I218" s="5"/>
      <c r="J218" s="5"/>
      <c r="K218" s="5"/>
      <c r="L218" s="5"/>
      <c r="M218" s="5"/>
      <c r="N218" s="5"/>
      <c r="O218" s="5"/>
      <c r="P218" s="5"/>
    </row>
    <row r="219" spans="1:21">
      <c r="A219" t="s">
        <v>218</v>
      </c>
      <c r="B219" s="11">
        <f>-B216*(B194-B197)</f>
        <v>-101097.76377174996</v>
      </c>
      <c r="C219" s="5"/>
      <c r="D219" s="5"/>
      <c r="E219" s="5"/>
      <c r="F219" s="5"/>
      <c r="G219" s="5"/>
      <c r="H219" s="5"/>
      <c r="I219" s="5"/>
      <c r="J219" s="5"/>
      <c r="K219" s="5"/>
      <c r="L219" s="5"/>
      <c r="M219" s="5"/>
      <c r="N219" s="5"/>
      <c r="O219" s="5"/>
      <c r="P219" s="5"/>
    </row>
    <row r="220" spans="1:21">
      <c r="A220" t="s">
        <v>219</v>
      </c>
      <c r="B220" s="11">
        <f>-B217*(B195-B198)</f>
        <v>-2939619.4322598353</v>
      </c>
      <c r="C220" s="11">
        <f>B220+B219</f>
        <v>-3040717.1960315853</v>
      </c>
    </row>
    <row r="222" spans="1:21">
      <c r="A222" t="s">
        <v>222</v>
      </c>
    </row>
    <row r="223" spans="1:21">
      <c r="A223" t="s">
        <v>338</v>
      </c>
      <c r="B223" s="11">
        <f>-B59*1</f>
        <v>0</v>
      </c>
      <c r="C223" s="11">
        <f>-C59*1</f>
        <v>-85000</v>
      </c>
      <c r="D223" s="11">
        <f t="shared" ref="D223:U223" si="18">-D59*1</f>
        <v>-120000</v>
      </c>
      <c r="E223" s="11">
        <f t="shared" si="18"/>
        <v>-550000</v>
      </c>
      <c r="F223" s="11">
        <f t="shared" si="18"/>
        <v>-670000</v>
      </c>
      <c r="G223" s="11">
        <f t="shared" si="18"/>
        <v>-950000</v>
      </c>
      <c r="H223" s="11">
        <f t="shared" si="18"/>
        <v>-1050000</v>
      </c>
      <c r="I223" s="11">
        <f t="shared" si="18"/>
        <v>-1170000</v>
      </c>
      <c r="J223" s="11">
        <f t="shared" si="18"/>
        <v>-1550000</v>
      </c>
      <c r="K223" s="11">
        <f t="shared" si="18"/>
        <v>-1670000</v>
      </c>
      <c r="L223" s="11">
        <f t="shared" si="18"/>
        <v>-2500000</v>
      </c>
      <c r="M223" s="11">
        <f t="shared" si="18"/>
        <v>-2550000</v>
      </c>
      <c r="N223" s="11">
        <f t="shared" si="18"/>
        <v>-2670000</v>
      </c>
      <c r="O223" s="11">
        <f t="shared" si="18"/>
        <v>-3500000</v>
      </c>
      <c r="P223" s="11">
        <f t="shared" si="18"/>
        <v>-4285000</v>
      </c>
      <c r="Q223" s="11">
        <f t="shared" si="18"/>
        <v>-4800000</v>
      </c>
      <c r="R223" s="11">
        <f t="shared" si="18"/>
        <v>-4885000</v>
      </c>
      <c r="S223" s="11">
        <f t="shared" si="18"/>
        <v>-5300000</v>
      </c>
      <c r="T223" s="11">
        <f t="shared" si="18"/>
        <v>-5385000</v>
      </c>
      <c r="U223" s="11">
        <f t="shared" si="18"/>
        <v>-6300000</v>
      </c>
    </row>
    <row r="225" spans="1:21">
      <c r="A225" t="s">
        <v>158</v>
      </c>
      <c r="B225" s="11">
        <f t="shared" ref="B225:U225" si="19">-B48+B59</f>
        <v>0</v>
      </c>
      <c r="C225" s="11">
        <f t="shared" si="19"/>
        <v>0</v>
      </c>
      <c r="D225" s="11">
        <f t="shared" si="19"/>
        <v>0</v>
      </c>
      <c r="E225" s="11">
        <f t="shared" si="19"/>
        <v>0</v>
      </c>
      <c r="F225" s="11">
        <f t="shared" si="19"/>
        <v>0</v>
      </c>
      <c r="G225" s="11">
        <f t="shared" si="19"/>
        <v>0</v>
      </c>
      <c r="H225" s="11">
        <f t="shared" si="19"/>
        <v>0</v>
      </c>
      <c r="I225" s="11">
        <f t="shared" si="19"/>
        <v>0</v>
      </c>
      <c r="J225" s="11">
        <f t="shared" si="19"/>
        <v>0</v>
      </c>
      <c r="K225" s="11">
        <f t="shared" si="19"/>
        <v>0</v>
      </c>
      <c r="L225" s="11">
        <f t="shared" si="19"/>
        <v>0</v>
      </c>
      <c r="M225" s="11">
        <f t="shared" si="19"/>
        <v>0</v>
      </c>
      <c r="N225" s="11">
        <f t="shared" si="19"/>
        <v>0</v>
      </c>
      <c r="O225" s="11">
        <f t="shared" si="19"/>
        <v>0</v>
      </c>
      <c r="P225" s="11">
        <f t="shared" si="19"/>
        <v>0</v>
      </c>
      <c r="Q225" s="11">
        <f t="shared" si="19"/>
        <v>0</v>
      </c>
      <c r="R225" s="11">
        <f t="shared" si="19"/>
        <v>0</v>
      </c>
      <c r="S225" s="11">
        <f t="shared" si="19"/>
        <v>0</v>
      </c>
      <c r="T225" s="11">
        <f t="shared" si="19"/>
        <v>0</v>
      </c>
      <c r="U225" s="11">
        <f t="shared" si="19"/>
        <v>0</v>
      </c>
    </row>
    <row r="226" spans="1:21">
      <c r="A226" t="s">
        <v>157</v>
      </c>
      <c r="B226">
        <v>0</v>
      </c>
      <c r="C226" s="16">
        <f>IF(C225=0,0,-(C225+10000)/500)</f>
        <v>0</v>
      </c>
      <c r="D226" s="16">
        <f t="shared" ref="D226:U226" si="20">IF(D225=0,0,-(D225+10000)/500)</f>
        <v>0</v>
      </c>
      <c r="E226" s="16">
        <f t="shared" si="20"/>
        <v>0</v>
      </c>
      <c r="F226" s="16">
        <f t="shared" si="20"/>
        <v>0</v>
      </c>
      <c r="G226" s="16">
        <f t="shared" si="20"/>
        <v>0</v>
      </c>
      <c r="H226" s="16">
        <f t="shared" si="20"/>
        <v>0</v>
      </c>
      <c r="I226" s="16">
        <f t="shared" si="20"/>
        <v>0</v>
      </c>
      <c r="J226" s="16">
        <f t="shared" si="20"/>
        <v>0</v>
      </c>
      <c r="K226" s="16">
        <f t="shared" si="20"/>
        <v>0</v>
      </c>
      <c r="L226" s="16">
        <f t="shared" si="20"/>
        <v>0</v>
      </c>
      <c r="M226" s="16">
        <f t="shared" si="20"/>
        <v>0</v>
      </c>
      <c r="N226" s="16">
        <f t="shared" si="20"/>
        <v>0</v>
      </c>
      <c r="O226" s="16">
        <f t="shared" si="20"/>
        <v>0</v>
      </c>
      <c r="P226" s="16">
        <f t="shared" si="20"/>
        <v>0</v>
      </c>
      <c r="Q226" s="16">
        <f t="shared" si="20"/>
        <v>0</v>
      </c>
      <c r="R226" s="16">
        <f t="shared" si="20"/>
        <v>0</v>
      </c>
      <c r="S226" s="16">
        <f t="shared" si="20"/>
        <v>0</v>
      </c>
      <c r="T226" s="16">
        <f t="shared" si="20"/>
        <v>0</v>
      </c>
      <c r="U226" s="16">
        <f t="shared" si="20"/>
        <v>0</v>
      </c>
    </row>
    <row r="227" spans="1:21">
      <c r="A227" t="s">
        <v>156</v>
      </c>
      <c r="B227">
        <v>0</v>
      </c>
      <c r="C227" s="15">
        <f>ROUNDUP(C226/6,0)</f>
        <v>0</v>
      </c>
      <c r="D227" s="15">
        <f>ROUNDUP(D226/6,0)</f>
        <v>0</v>
      </c>
      <c r="E227" s="15">
        <f>ROUNDUP(E226/6,0)</f>
        <v>0</v>
      </c>
      <c r="F227" s="15">
        <f>ROUNDUP(F226/6,0)</f>
        <v>0</v>
      </c>
      <c r="G227" s="15">
        <f t="shared" ref="G227:U227" si="21">ROUNDUP(G226/6,0)</f>
        <v>0</v>
      </c>
      <c r="H227" s="15">
        <f t="shared" si="21"/>
        <v>0</v>
      </c>
      <c r="I227" s="15">
        <f t="shared" si="21"/>
        <v>0</v>
      </c>
      <c r="J227" s="15">
        <f t="shared" si="21"/>
        <v>0</v>
      </c>
      <c r="K227" s="15">
        <f t="shared" si="21"/>
        <v>0</v>
      </c>
      <c r="L227" s="15">
        <f t="shared" si="21"/>
        <v>0</v>
      </c>
      <c r="M227" s="15">
        <f t="shared" si="21"/>
        <v>0</v>
      </c>
      <c r="N227" s="15">
        <f t="shared" si="21"/>
        <v>0</v>
      </c>
      <c r="O227" s="15">
        <f t="shared" si="21"/>
        <v>0</v>
      </c>
      <c r="P227" s="15">
        <f t="shared" si="21"/>
        <v>0</v>
      </c>
      <c r="Q227" s="15">
        <f t="shared" si="21"/>
        <v>0</v>
      </c>
      <c r="R227" s="15">
        <f t="shared" si="21"/>
        <v>0</v>
      </c>
      <c r="S227" s="15">
        <f t="shared" si="21"/>
        <v>0</v>
      </c>
      <c r="T227" s="15">
        <f t="shared" si="21"/>
        <v>0</v>
      </c>
      <c r="U227" s="15">
        <f t="shared" si="21"/>
        <v>0</v>
      </c>
    </row>
    <row r="228" spans="1:21">
      <c r="C228" s="15"/>
      <c r="D228" s="15"/>
      <c r="E228" s="15"/>
      <c r="F228" s="15"/>
      <c r="G228" s="15"/>
      <c r="H228" s="15"/>
      <c r="I228" s="15"/>
      <c r="J228" s="15"/>
      <c r="K228" s="15"/>
      <c r="L228" s="15"/>
      <c r="M228" s="15"/>
      <c r="N228" s="15"/>
      <c r="O228" s="15"/>
      <c r="P228" s="15"/>
      <c r="Q228" s="15"/>
      <c r="R228" s="15"/>
      <c r="S228" s="15"/>
      <c r="T228" s="15"/>
      <c r="U228" s="15"/>
    </row>
    <row r="229" spans="1:21">
      <c r="A229" t="s">
        <v>278</v>
      </c>
      <c r="C229" s="15"/>
      <c r="D229" s="15"/>
      <c r="E229" s="15"/>
      <c r="F229" s="15"/>
      <c r="G229" s="15"/>
      <c r="H229" s="15"/>
      <c r="I229" s="15"/>
      <c r="J229" s="15"/>
      <c r="K229" s="15"/>
      <c r="L229" s="15"/>
      <c r="M229" s="15"/>
      <c r="N229" s="15"/>
      <c r="O229" s="15"/>
      <c r="P229" s="15"/>
      <c r="Q229" s="15"/>
      <c r="R229" s="15"/>
      <c r="S229" s="15"/>
      <c r="T229" s="15"/>
      <c r="U229" s="15"/>
    </row>
    <row r="230" spans="1:21">
      <c r="A230" t="s">
        <v>274</v>
      </c>
      <c r="B230" s="11">
        <f t="shared" ref="B230:P230" si="22">-(202*$B$201+$B$202)*B165/($B$200)/25</f>
        <v>-3430.9867979519995</v>
      </c>
      <c r="C230" s="11">
        <f t="shared" si="22"/>
        <v>-3403.9880087808001</v>
      </c>
      <c r="D230" s="11">
        <f t="shared" si="22"/>
        <v>-3537.3590879423996</v>
      </c>
      <c r="E230" s="11">
        <f t="shared" si="22"/>
        <v>-3989.9308997183998</v>
      </c>
      <c r="F230" s="11">
        <f t="shared" si="22"/>
        <v>-4003.2526051391992</v>
      </c>
      <c r="G230" s="11">
        <f t="shared" si="22"/>
        <v>-4175.8273941888001</v>
      </c>
      <c r="H230" s="11">
        <f t="shared" si="22"/>
        <v>-3929.1030827328</v>
      </c>
      <c r="I230" s="11">
        <f t="shared" si="22"/>
        <v>-3757.4175698304002</v>
      </c>
      <c r="J230" s="11">
        <f t="shared" si="22"/>
        <v>-3766.6669551167993</v>
      </c>
      <c r="K230" s="11">
        <f t="shared" si="22"/>
        <v>-3810.3074970239995</v>
      </c>
      <c r="L230" s="11">
        <f t="shared" si="22"/>
        <v>-3561.1507537536004</v>
      </c>
      <c r="M230" s="11">
        <f t="shared" si="22"/>
        <v>-3718.3147442111995</v>
      </c>
      <c r="N230" s="11">
        <f t="shared" si="22"/>
        <v>-3718.215105427199</v>
      </c>
      <c r="O230" s="11">
        <f t="shared" si="22"/>
        <v>-3411.5215311743996</v>
      </c>
      <c r="P230" s="11">
        <f t="shared" si="22"/>
        <v>-3474.3317447999998</v>
      </c>
      <c r="Q230" s="11">
        <f>-(202*$B$201+$B$202)*Q165/($B$200)/25</f>
        <v>-3596.0073065279998</v>
      </c>
      <c r="R230" s="11">
        <f>-(202*$B$201+$B$202)*R165/($B$200)/25</f>
        <v>-3527.4965089727998</v>
      </c>
      <c r="S230" s="11">
        <f>-(202*$B$201+$B$202)*S165/($B$200)/25</f>
        <v>-3564.4413245951996</v>
      </c>
      <c r="T230" s="11">
        <f>-(202*$B$201+$B$202)*T165/($B$200)/25</f>
        <v>-3568.2637174463994</v>
      </c>
      <c r="U230" s="11">
        <f>-(202*$B$201+$B$202)*U165/($B$200)/25</f>
        <v>-3591.7294814015995</v>
      </c>
    </row>
    <row r="231" spans="1:21">
      <c r="A231" t="s">
        <v>275</v>
      </c>
      <c r="B231" s="11">
        <f t="shared" ref="B231:P231" si="23">-(314*$B$201+$B$202)*B166/($B$200)/25</f>
        <v>-11500.8132996736</v>
      </c>
      <c r="C231" s="11">
        <f t="shared" si="23"/>
        <v>-11793.161507254401</v>
      </c>
      <c r="D231" s="11">
        <f t="shared" si="23"/>
        <v>-11170.600809071198</v>
      </c>
      <c r="E231" s="11">
        <f t="shared" si="23"/>
        <v>-9668.711336351198</v>
      </c>
      <c r="F231" s="11">
        <f t="shared" si="23"/>
        <v>-9587.2772287600001</v>
      </c>
      <c r="G231" s="11">
        <f t="shared" si="23"/>
        <v>-8536.9950770551986</v>
      </c>
      <c r="H231" s="11">
        <f t="shared" si="23"/>
        <v>-9876.8768424983991</v>
      </c>
      <c r="I231" s="11">
        <f t="shared" si="23"/>
        <v>-10011.0831777936</v>
      </c>
      <c r="J231" s="11">
        <f t="shared" si="23"/>
        <v>-9811.5104945927997</v>
      </c>
      <c r="K231" s="11">
        <f t="shared" si="23"/>
        <v>-9726.2479653975988</v>
      </c>
      <c r="L231" s="11">
        <f t="shared" si="23"/>
        <v>-8952.8842243456002</v>
      </c>
      <c r="M231" s="11">
        <f t="shared" si="23"/>
        <v>-9463.6059872535989</v>
      </c>
      <c r="N231" s="11">
        <f t="shared" si="23"/>
        <v>-9796.2432523816005</v>
      </c>
      <c r="O231" s="11">
        <f t="shared" si="23"/>
        <v>-9224.8253643839998</v>
      </c>
      <c r="P231" s="11">
        <f t="shared" si="23"/>
        <v>-8331.1492009144004</v>
      </c>
      <c r="Q231" s="11">
        <f>-(314*$B$201+$B$202)*Q166/($B$200)/25</f>
        <v>-8067.4106234903993</v>
      </c>
      <c r="R231" s="11">
        <f>-(314*$B$201+$B$202)*R166/($B$200)/25</f>
        <v>-8181.3318072807988</v>
      </c>
      <c r="S231" s="11">
        <f>-(314*$B$201+$B$202)*S166/($B$200)/25</f>
        <v>-8043.0622491240001</v>
      </c>
      <c r="T231" s="11">
        <f>-(314*$B$201+$B$202)*T166/($B$200)/25</f>
        <v>-8065.4038468079989</v>
      </c>
      <c r="U231" s="11">
        <f>-(314*$B$201+$B$202)*U166/($B$200)/25</f>
        <v>-8216.8648492447992</v>
      </c>
    </row>
    <row r="232" spans="1:21">
      <c r="A232" t="s">
        <v>276</v>
      </c>
      <c r="B232" s="11">
        <f t="shared" ref="B232:P232" si="24">-(365*$B$201+$B$202)*B167/($B$200)/25</f>
        <v>-647.09691031304988</v>
      </c>
      <c r="C232" s="11">
        <f t="shared" si="24"/>
        <v>-567.00030737944996</v>
      </c>
      <c r="D232" s="11">
        <f t="shared" si="24"/>
        <v>-672.8880884330498</v>
      </c>
      <c r="E232" s="11">
        <f t="shared" si="24"/>
        <v>-505.41112397760003</v>
      </c>
      <c r="F232" s="11">
        <f t="shared" si="24"/>
        <v>-337.52180056965</v>
      </c>
      <c r="G232" s="11">
        <f t="shared" si="24"/>
        <v>-361.61106083115004</v>
      </c>
      <c r="H232" s="11">
        <f t="shared" si="24"/>
        <v>-301.7642814395</v>
      </c>
      <c r="I232" s="11">
        <f t="shared" si="24"/>
        <v>-556.68983407985002</v>
      </c>
      <c r="J232" s="11">
        <f t="shared" si="24"/>
        <v>-498.89960124585008</v>
      </c>
      <c r="K232" s="11">
        <f t="shared" si="24"/>
        <v>-490.23706426914993</v>
      </c>
      <c r="L232" s="11">
        <f t="shared" si="24"/>
        <v>-614.11644129209992</v>
      </c>
      <c r="M232" s="11">
        <f t="shared" si="24"/>
        <v>-643.04679565594995</v>
      </c>
      <c r="N232" s="11">
        <f t="shared" si="24"/>
        <v>-790.70953757199993</v>
      </c>
      <c r="O232" s="11">
        <f t="shared" si="24"/>
        <v>-702.69039454554991</v>
      </c>
      <c r="P232" s="11">
        <f t="shared" si="24"/>
        <v>-1305.0343626155498</v>
      </c>
      <c r="Q232" s="11">
        <f>-(365*$B$201+$B$202)*Q167/($B$200)/25</f>
        <v>-1344.2654436128496</v>
      </c>
      <c r="R232" s="11">
        <f>-(365*$B$201+$B$202)*R167/($B$200)/25</f>
        <v>-1309.5260762236001</v>
      </c>
      <c r="S232" s="11">
        <f>-(365*$B$201+$B$202)*S167/($B$200)/25</f>
        <v>-1476.9123217095</v>
      </c>
      <c r="T232" s="11">
        <f>-(365*$B$201+$B$202)*T167/($B$200)/25</f>
        <v>-1367.7751521101998</v>
      </c>
      <c r="U232" s="11">
        <f>-(365*$B$201+$B$202)*U167/($B$200)/25</f>
        <v>-1277.6477302211499</v>
      </c>
    </row>
    <row r="233" spans="1:21">
      <c r="A233" t="s">
        <v>277</v>
      </c>
      <c r="B233" s="11">
        <f t="shared" ref="B233:P233" si="25">-(397*$B$201+$B$202)*B168/($B$200)/25</f>
        <v>-38.593408377150006</v>
      </c>
      <c r="C233" s="11">
        <f t="shared" si="25"/>
        <v>-22.870318932450004</v>
      </c>
      <c r="D233" s="11">
        <f t="shared" si="25"/>
        <v>-0.94263517260000018</v>
      </c>
      <c r="E233" s="11">
        <f t="shared" si="25"/>
        <v>-2.0361245899500005</v>
      </c>
      <c r="F233" s="11">
        <f t="shared" si="25"/>
        <v>-1.9570280400000001E-2</v>
      </c>
      <c r="G233" s="11">
        <f t="shared" si="25"/>
        <v>-2.0385708749999999E-2</v>
      </c>
      <c r="H233" s="11">
        <f t="shared" si="25"/>
        <v>-19.582511825250002</v>
      </c>
      <c r="I233" s="11">
        <f t="shared" si="25"/>
        <v>-4.9137712371000006</v>
      </c>
      <c r="J233" s="11">
        <f t="shared" si="25"/>
        <v>-18.786653755650001</v>
      </c>
      <c r="K233" s="11">
        <f t="shared" si="25"/>
        <v>-1.9570280400000001E-2</v>
      </c>
      <c r="L233" s="11">
        <f t="shared" si="25"/>
        <v>-2.0385708749999999E-2</v>
      </c>
      <c r="M233" s="11">
        <f t="shared" si="25"/>
        <v>-12.242841246899999</v>
      </c>
      <c r="N233" s="11">
        <f t="shared" si="25"/>
        <v>-11.707104820949999</v>
      </c>
      <c r="O233" s="11">
        <f t="shared" si="25"/>
        <v>-9.1694917957500017</v>
      </c>
      <c r="P233" s="11">
        <f t="shared" si="25"/>
        <v>-78.7426540461</v>
      </c>
      <c r="Q233" s="11">
        <f>-(397*$B$201+$B$202)*Q168/($B$200)/25</f>
        <v>-90.168436086300005</v>
      </c>
      <c r="R233" s="11">
        <f>-(397*$B$201+$B$202)*R168/($B$200)/25</f>
        <v>-81.165291673950009</v>
      </c>
      <c r="S233" s="11">
        <f>-(397*$B$201+$B$202)*S168/($B$200)/25</f>
        <v>-89.307343748700006</v>
      </c>
      <c r="T233" s="11">
        <f>-(397*$B$201+$B$202)*T168/($B$200)/25</f>
        <v>-102.77006580720001</v>
      </c>
      <c r="U233" s="11">
        <f>-(397*$B$201+$B$202)*U168/($B$200)/25</f>
        <v>-75.224896144199988</v>
      </c>
    </row>
    <row r="234" spans="1:21">
      <c r="A234" t="s">
        <v>286</v>
      </c>
      <c r="B234" s="11">
        <f t="shared" ref="B234:U234" si="26">IF(B65&lt;0.3,-(100*$B$201+$B$202),0)</f>
        <v>0</v>
      </c>
      <c r="C234" s="11">
        <f t="shared" si="26"/>
        <v>0</v>
      </c>
      <c r="D234" s="11">
        <f t="shared" si="26"/>
        <v>0</v>
      </c>
      <c r="E234" s="11">
        <f t="shared" si="26"/>
        <v>0</v>
      </c>
      <c r="F234" s="11">
        <f t="shared" si="26"/>
        <v>0</v>
      </c>
      <c r="G234" s="11">
        <f t="shared" si="26"/>
        <v>0</v>
      </c>
      <c r="H234" s="11">
        <f t="shared" si="26"/>
        <v>0</v>
      </c>
      <c r="I234" s="11">
        <f t="shared" si="26"/>
        <v>0</v>
      </c>
      <c r="J234" s="11">
        <f t="shared" si="26"/>
        <v>0</v>
      </c>
      <c r="K234" s="11">
        <f t="shared" si="26"/>
        <v>0</v>
      </c>
      <c r="L234" s="11">
        <f t="shared" si="26"/>
        <v>0</v>
      </c>
      <c r="M234" s="11">
        <f t="shared" si="26"/>
        <v>0</v>
      </c>
      <c r="N234" s="11">
        <f t="shared" si="26"/>
        <v>0</v>
      </c>
      <c r="O234" s="11">
        <f t="shared" si="26"/>
        <v>0</v>
      </c>
      <c r="P234" s="11">
        <f t="shared" si="26"/>
        <v>-41158.26</v>
      </c>
      <c r="Q234" s="11">
        <f t="shared" si="26"/>
        <v>-41158.26</v>
      </c>
      <c r="R234" s="11">
        <f t="shared" si="26"/>
        <v>-41158.26</v>
      </c>
      <c r="S234" s="11">
        <f t="shared" si="26"/>
        <v>-41158.26</v>
      </c>
      <c r="T234" s="11">
        <f t="shared" si="26"/>
        <v>-41158.26</v>
      </c>
      <c r="U234" s="11">
        <f t="shared" si="26"/>
        <v>-41158.26</v>
      </c>
    </row>
    <row r="235" spans="1:21">
      <c r="C235" s="15"/>
      <c r="D235" s="15"/>
      <c r="E235" s="15"/>
      <c r="F235" s="15"/>
      <c r="G235" s="15"/>
      <c r="H235" s="15"/>
      <c r="I235" s="15"/>
      <c r="J235" s="15"/>
      <c r="K235" s="15"/>
      <c r="L235" s="15"/>
      <c r="M235" s="15"/>
      <c r="N235" s="15"/>
      <c r="O235" s="15"/>
      <c r="P235" s="15"/>
      <c r="Q235" s="15"/>
      <c r="R235" s="15"/>
      <c r="S235" s="15"/>
      <c r="T235" s="15"/>
      <c r="U235" s="15"/>
    </row>
    <row r="236" spans="1:21">
      <c r="A236" t="s">
        <v>279</v>
      </c>
      <c r="C236" s="15"/>
      <c r="D236" s="15"/>
      <c r="E236" s="15"/>
      <c r="F236" s="15"/>
      <c r="G236" s="15"/>
      <c r="H236" s="15"/>
      <c r="I236" s="15"/>
      <c r="J236" s="15"/>
      <c r="K236" s="15"/>
      <c r="L236" s="15"/>
      <c r="M236" s="15"/>
      <c r="N236" s="15"/>
      <c r="O236" s="15"/>
      <c r="P236" s="15"/>
      <c r="Q236" s="15"/>
      <c r="R236" s="15"/>
      <c r="S236" s="15"/>
      <c r="T236" s="15"/>
      <c r="U236" s="15"/>
    </row>
    <row r="237" spans="1:21">
      <c r="A237" t="s">
        <v>274</v>
      </c>
      <c r="B237" s="11">
        <f t="shared" ref="B237:U237" si="27">-$B204*B165/25</f>
        <v>-52166.235905999994</v>
      </c>
      <c r="C237" s="11">
        <f t="shared" si="27"/>
        <v>-51755.734412400008</v>
      </c>
      <c r="D237" s="11">
        <f t="shared" si="27"/>
        <v>-53783.567099700005</v>
      </c>
      <c r="E237" s="11">
        <f t="shared" si="27"/>
        <v>-60664.668452700003</v>
      </c>
      <c r="F237" s="11">
        <f t="shared" si="27"/>
        <v>-60867.217535100004</v>
      </c>
      <c r="G237" s="11">
        <f t="shared" si="27"/>
        <v>-63491.120711399999</v>
      </c>
      <c r="H237" s="11">
        <f t="shared" si="27"/>
        <v>-59739.815505899998</v>
      </c>
      <c r="I237" s="11">
        <f t="shared" si="27"/>
        <v>-57129.433276200005</v>
      </c>
      <c r="J237" s="11">
        <f t="shared" si="27"/>
        <v>-57270.065007899997</v>
      </c>
      <c r="K237" s="11">
        <f t="shared" si="27"/>
        <v>-57933.595047000003</v>
      </c>
      <c r="L237" s="11">
        <f t="shared" si="27"/>
        <v>-54145.306075800007</v>
      </c>
      <c r="M237" s="11">
        <f t="shared" si="27"/>
        <v>-56534.896676100005</v>
      </c>
      <c r="N237" s="11">
        <f t="shared" si="27"/>
        <v>-56533.3817241</v>
      </c>
      <c r="O237" s="11">
        <f t="shared" si="27"/>
        <v>-51870.277408199996</v>
      </c>
      <c r="P237" s="11">
        <f t="shared" si="27"/>
        <v>-52825.271587500007</v>
      </c>
      <c r="Q237" s="11">
        <f t="shared" si="27"/>
        <v>-54675.280471500009</v>
      </c>
      <c r="R237" s="11">
        <f t="shared" si="27"/>
        <v>-53633.612100900005</v>
      </c>
      <c r="S237" s="11">
        <f t="shared" si="27"/>
        <v>-54195.337365600004</v>
      </c>
      <c r="T237" s="11">
        <f t="shared" si="27"/>
        <v>-54253.454711699997</v>
      </c>
      <c r="U237" s="11">
        <f t="shared" si="27"/>
        <v>-54610.238532300005</v>
      </c>
    </row>
    <row r="238" spans="1:21">
      <c r="A238" t="s">
        <v>275</v>
      </c>
      <c r="B238" s="11">
        <f t="shared" ref="B238:U238" si="28">-$B205*B166/25</f>
        <v>-117335.11633440001</v>
      </c>
      <c r="C238" s="11">
        <f t="shared" si="28"/>
        <v>-120317.74982760001</v>
      </c>
      <c r="D238" s="11">
        <f t="shared" si="28"/>
        <v>-113966.17885230001</v>
      </c>
      <c r="E238" s="11">
        <f t="shared" si="28"/>
        <v>-98643.403722300005</v>
      </c>
      <c r="F238" s="11">
        <f t="shared" si="28"/>
        <v>-97812.585915000003</v>
      </c>
      <c r="G238" s="11">
        <f t="shared" si="28"/>
        <v>-87097.258638300002</v>
      </c>
      <c r="H238" s="11">
        <f t="shared" si="28"/>
        <v>-100767.17734110002</v>
      </c>
      <c r="I238" s="11">
        <f t="shared" si="28"/>
        <v>-102136.39493940001</v>
      </c>
      <c r="J238" s="11">
        <f t="shared" si="28"/>
        <v>-100100.28815370002</v>
      </c>
      <c r="K238" s="11">
        <f t="shared" si="28"/>
        <v>-99230.411517900022</v>
      </c>
      <c r="L238" s="11">
        <f t="shared" si="28"/>
        <v>-91340.297822400011</v>
      </c>
      <c r="M238" s="11">
        <f t="shared" si="28"/>
        <v>-96550.850841900014</v>
      </c>
      <c r="N238" s="11">
        <f t="shared" si="28"/>
        <v>-99944.526678900016</v>
      </c>
      <c r="O238" s="11">
        <f t="shared" si="28"/>
        <v>-94114.731636000011</v>
      </c>
      <c r="P238" s="11">
        <f t="shared" si="28"/>
        <v>-84997.150655100006</v>
      </c>
      <c r="Q238" s="11">
        <f t="shared" si="28"/>
        <v>-82306.402109100003</v>
      </c>
      <c r="R238" s="11">
        <f t="shared" si="28"/>
        <v>-83468.663855700011</v>
      </c>
      <c r="S238" s="11">
        <f t="shared" si="28"/>
        <v>-82057.991908500015</v>
      </c>
      <c r="T238" s="11">
        <f t="shared" si="28"/>
        <v>-82285.928307000009</v>
      </c>
      <c r="U238" s="11">
        <f t="shared" si="28"/>
        <v>-83831.18374920002</v>
      </c>
    </row>
    <row r="239" spans="1:21">
      <c r="A239" t="s">
        <v>276</v>
      </c>
      <c r="B239" s="11">
        <f t="shared" ref="B239:U239" si="29">-$B206*B167/25</f>
        <v>-5785.7305185000005</v>
      </c>
      <c r="C239" s="11">
        <f t="shared" si="29"/>
        <v>-5069.5822065000011</v>
      </c>
      <c r="D239" s="11">
        <f t="shared" si="29"/>
        <v>-6016.3309185000007</v>
      </c>
      <c r="E239" s="11">
        <f t="shared" si="29"/>
        <v>-4518.9097920000004</v>
      </c>
      <c r="F239" s="11">
        <f t="shared" si="29"/>
        <v>-3017.8017405000005</v>
      </c>
      <c r="G239" s="11">
        <f t="shared" si="29"/>
        <v>-3233.1851955000006</v>
      </c>
      <c r="H239" s="11">
        <f t="shared" si="29"/>
        <v>-2698.0917150000005</v>
      </c>
      <c r="I239" s="11">
        <f t="shared" si="29"/>
        <v>-4977.3956745000005</v>
      </c>
      <c r="J239" s="11">
        <f t="shared" si="29"/>
        <v>-4460.6898945000012</v>
      </c>
      <c r="K239" s="11">
        <f t="shared" si="29"/>
        <v>-4383.237655500001</v>
      </c>
      <c r="L239" s="11">
        <f t="shared" si="29"/>
        <v>-5490.850257000001</v>
      </c>
      <c r="M239" s="11">
        <f t="shared" si="29"/>
        <v>-5749.5182115000007</v>
      </c>
      <c r="N239" s="11">
        <f t="shared" si="29"/>
        <v>-7069.7792400000008</v>
      </c>
      <c r="O239" s="11">
        <f t="shared" si="29"/>
        <v>-6282.7950435000002</v>
      </c>
      <c r="P239" s="11">
        <f t="shared" si="29"/>
        <v>-11668.386943500002</v>
      </c>
      <c r="Q239" s="11">
        <f t="shared" si="29"/>
        <v>-12019.1542845</v>
      </c>
      <c r="R239" s="11">
        <f t="shared" si="29"/>
        <v>-11708.547612</v>
      </c>
      <c r="S239" s="11">
        <f t="shared" si="29"/>
        <v>-13205.157615000002</v>
      </c>
      <c r="T239" s="11">
        <f t="shared" si="29"/>
        <v>-12229.355934000003</v>
      </c>
      <c r="U239" s="11">
        <f t="shared" si="29"/>
        <v>-11423.521495500003</v>
      </c>
    </row>
    <row r="240" spans="1:21">
      <c r="A240" t="s">
        <v>277</v>
      </c>
      <c r="B240" s="11">
        <f t="shared" ref="B240:U240" si="30">-$B207*B168/25</f>
        <v>-324.53011721086961</v>
      </c>
      <c r="C240" s="11">
        <f t="shared" si="30"/>
        <v>-192.31541332826092</v>
      </c>
      <c r="D240" s="11">
        <f t="shared" si="30"/>
        <v>-7.9265738869565219</v>
      </c>
      <c r="E240" s="11">
        <f t="shared" si="30"/>
        <v>-17.12167387173913</v>
      </c>
      <c r="F240" s="11">
        <f t="shared" si="30"/>
        <v>-0.16456554782608696</v>
      </c>
      <c r="G240" s="11">
        <f t="shared" si="30"/>
        <v>-0.17142244565217393</v>
      </c>
      <c r="H240" s="11">
        <f t="shared" si="30"/>
        <v>-164.66840129347827</v>
      </c>
      <c r="I240" s="11">
        <f t="shared" si="30"/>
        <v>-41.319666300000002</v>
      </c>
      <c r="J240" s="11">
        <f t="shared" si="30"/>
        <v>-157.9760690152174</v>
      </c>
      <c r="K240" s="11">
        <f t="shared" si="30"/>
        <v>-0.16456554782608696</v>
      </c>
      <c r="L240" s="11">
        <f t="shared" si="30"/>
        <v>-0.17142244565217393</v>
      </c>
      <c r="M240" s="11">
        <f t="shared" si="30"/>
        <v>-102.94946396086956</v>
      </c>
      <c r="N240" s="11">
        <f t="shared" si="30"/>
        <v>-98.444482089130432</v>
      </c>
      <c r="O240" s="11">
        <f t="shared" si="30"/>
        <v>-77.105816054347827</v>
      </c>
      <c r="P240" s="11">
        <f t="shared" si="30"/>
        <v>-662.14319547391312</v>
      </c>
      <c r="Q240" s="11">
        <f t="shared" si="30"/>
        <v>-758.22204781304345</v>
      </c>
      <c r="R240" s="11">
        <f t="shared" si="30"/>
        <v>-682.51503891521747</v>
      </c>
      <c r="S240" s="11">
        <f t="shared" si="30"/>
        <v>-750.9811637086957</v>
      </c>
      <c r="T240" s="11">
        <f t="shared" si="30"/>
        <v>-864.18854681739128</v>
      </c>
      <c r="U240" s="11">
        <f t="shared" si="30"/>
        <v>-632.56253825217402</v>
      </c>
    </row>
    <row r="241" spans="1:21">
      <c r="F241" s="15"/>
      <c r="G241" s="15"/>
      <c r="H241" s="15"/>
      <c r="I241" s="15"/>
      <c r="J241" s="15"/>
      <c r="K241" s="15"/>
      <c r="L241" s="15"/>
      <c r="M241" s="15"/>
      <c r="N241" s="15"/>
      <c r="O241" s="15"/>
      <c r="P241" s="15"/>
      <c r="Q241" s="15"/>
      <c r="R241" s="15"/>
      <c r="S241" s="15"/>
      <c r="T241" s="15"/>
      <c r="U241" s="15"/>
    </row>
    <row r="242" spans="1:21">
      <c r="A242" t="s">
        <v>231</v>
      </c>
      <c r="B242" s="2">
        <f t="shared" ref="B242:U242" si="31">B50*24*365</f>
        <v>110638.8</v>
      </c>
      <c r="C242" s="2">
        <f t="shared" si="31"/>
        <v>110638.8</v>
      </c>
      <c r="D242" s="2">
        <f t="shared" si="31"/>
        <v>110638.8</v>
      </c>
      <c r="E242" s="2">
        <f t="shared" si="31"/>
        <v>104944.79999999999</v>
      </c>
      <c r="F242" s="2">
        <f t="shared" si="31"/>
        <v>104857.20000000001</v>
      </c>
      <c r="G242" s="2">
        <f t="shared" si="31"/>
        <v>92593.2</v>
      </c>
      <c r="H242" s="2">
        <f t="shared" si="31"/>
        <v>98725.200000000012</v>
      </c>
      <c r="I242" s="2">
        <f t="shared" si="31"/>
        <v>98725.200000000012</v>
      </c>
      <c r="J242" s="2">
        <f t="shared" si="31"/>
        <v>93994.799999999988</v>
      </c>
      <c r="K242" s="2">
        <f t="shared" si="31"/>
        <v>93907.200000000012</v>
      </c>
      <c r="L242" s="2">
        <f t="shared" si="31"/>
        <v>77350.8</v>
      </c>
      <c r="M242" s="2">
        <f t="shared" si="31"/>
        <v>88388.4</v>
      </c>
      <c r="N242" s="2">
        <f t="shared" si="31"/>
        <v>88388.4</v>
      </c>
      <c r="O242" s="2">
        <f t="shared" si="31"/>
        <v>73233.599999999991</v>
      </c>
      <c r="P242" s="2">
        <f t="shared" si="31"/>
        <v>59130</v>
      </c>
      <c r="Q242" s="2">
        <f t="shared" si="31"/>
        <v>31360.799999999999</v>
      </c>
      <c r="R242" s="2">
        <f t="shared" si="31"/>
        <v>31536.000000000004</v>
      </c>
      <c r="S242" s="2">
        <f t="shared" si="31"/>
        <v>30222.000000000004</v>
      </c>
      <c r="T242" s="2">
        <f t="shared" si="31"/>
        <v>30922.799999999999</v>
      </c>
      <c r="U242" s="2">
        <f t="shared" si="31"/>
        <v>27944.400000000001</v>
      </c>
    </row>
    <row r="243" spans="1:21">
      <c r="A243" t="s">
        <v>224</v>
      </c>
      <c r="B243" s="2">
        <f t="shared" ref="B243:U243" si="32">(B41+B40)/$B$178/$B$179/25-B51</f>
        <v>27710.824339494531</v>
      </c>
      <c r="C243" s="2">
        <f t="shared" si="32"/>
        <v>27710.941472742816</v>
      </c>
      <c r="D243" s="2">
        <f t="shared" si="32"/>
        <v>27710.829432244453</v>
      </c>
      <c r="E243" s="2">
        <f t="shared" si="32"/>
        <v>28104.770954336014</v>
      </c>
      <c r="F243" s="2">
        <f t="shared" si="32"/>
        <v>28104.813733435389</v>
      </c>
      <c r="G243" s="2">
        <f t="shared" si="32"/>
        <v>29177.91521864933</v>
      </c>
      <c r="H243" s="2">
        <f t="shared" si="32"/>
        <v>28665.973662232642</v>
      </c>
      <c r="I243" s="2">
        <f t="shared" si="32"/>
        <v>28666.011348582084</v>
      </c>
      <c r="J243" s="2">
        <f t="shared" si="32"/>
        <v>29118.271987171167</v>
      </c>
      <c r="K243" s="2">
        <f t="shared" si="32"/>
        <v>29118.285218135465</v>
      </c>
      <c r="L243" s="2">
        <f t="shared" si="32"/>
        <v>30627.263975613474</v>
      </c>
      <c r="M243" s="2">
        <f t="shared" si="32"/>
        <v>29675.82421192115</v>
      </c>
      <c r="N243" s="2">
        <f t="shared" si="32"/>
        <v>29675.805878021412</v>
      </c>
      <c r="O243" s="2">
        <f t="shared" si="32"/>
        <v>31066.492267143054</v>
      </c>
      <c r="P243" s="2">
        <f t="shared" si="32"/>
        <v>32473.869634870713</v>
      </c>
      <c r="Q243" s="2">
        <f t="shared" si="32"/>
        <v>35450.515760609589</v>
      </c>
      <c r="R243" s="2">
        <f t="shared" si="32"/>
        <v>35415.55912512057</v>
      </c>
      <c r="S243" s="2">
        <f t="shared" si="32"/>
        <v>35604.282177661917</v>
      </c>
      <c r="T243" s="2">
        <f t="shared" si="32"/>
        <v>35519.391129152806</v>
      </c>
      <c r="U243" s="2">
        <f t="shared" si="32"/>
        <v>35872.347218393465</v>
      </c>
    </row>
    <row r="244" spans="1:21">
      <c r="A244" t="s">
        <v>232</v>
      </c>
      <c r="B244" s="2">
        <f t="shared" ref="B244:P244" si="33">B242+B243</f>
        <v>138349.62433949453</v>
      </c>
      <c r="C244" s="2">
        <f t="shared" si="33"/>
        <v>138349.74147274281</v>
      </c>
      <c r="D244" s="2">
        <f t="shared" si="33"/>
        <v>138349.62943224446</v>
      </c>
      <c r="E244" s="2">
        <f t="shared" si="33"/>
        <v>133049.570954336</v>
      </c>
      <c r="F244" s="2">
        <f t="shared" si="33"/>
        <v>132962.01373343539</v>
      </c>
      <c r="G244" s="2">
        <f t="shared" si="33"/>
        <v>121771.11521864933</v>
      </c>
      <c r="H244" s="2">
        <f t="shared" si="33"/>
        <v>127391.17366223266</v>
      </c>
      <c r="I244" s="2">
        <f t="shared" si="33"/>
        <v>127391.21134858209</v>
      </c>
      <c r="J244" s="2">
        <f t="shared" si="33"/>
        <v>123113.07198717116</v>
      </c>
      <c r="K244" s="2">
        <f t="shared" si="33"/>
        <v>123025.48521813548</v>
      </c>
      <c r="L244" s="2">
        <f t="shared" si="33"/>
        <v>107978.06397561348</v>
      </c>
      <c r="M244" s="2">
        <f t="shared" si="33"/>
        <v>118064.22421192114</v>
      </c>
      <c r="N244" s="2">
        <f t="shared" si="33"/>
        <v>118064.2058780214</v>
      </c>
      <c r="O244" s="2">
        <f t="shared" si="33"/>
        <v>104300.09226714305</v>
      </c>
      <c r="P244" s="2">
        <f t="shared" si="33"/>
        <v>91603.869634870716</v>
      </c>
      <c r="Q244" s="2">
        <f>Q242+Q243</f>
        <v>66811.315760609592</v>
      </c>
      <c r="R244" s="2">
        <f>R242+R243</f>
        <v>66951.559125120577</v>
      </c>
      <c r="S244" s="2">
        <f>S242+S243</f>
        <v>65826.282177661924</v>
      </c>
      <c r="T244" s="2">
        <f>T242+T243</f>
        <v>66442.191129152809</v>
      </c>
      <c r="U244" s="2">
        <f>U242+U243</f>
        <v>63816.747218393466</v>
      </c>
    </row>
    <row r="245" spans="1:21">
      <c r="B245" s="2"/>
      <c r="C245" s="2"/>
      <c r="D245" s="2"/>
      <c r="E245" s="2"/>
      <c r="F245" s="2"/>
      <c r="G245" s="2"/>
      <c r="H245" s="2"/>
      <c r="I245" s="2"/>
      <c r="J245" s="2"/>
      <c r="K245" s="2"/>
      <c r="L245" s="2"/>
      <c r="M245" s="2"/>
      <c r="N245" s="2"/>
      <c r="O245" s="2"/>
      <c r="P245" s="2"/>
      <c r="Q245" s="2"/>
      <c r="R245" s="2"/>
      <c r="S245" s="2"/>
      <c r="T245" s="2"/>
      <c r="U245" s="2"/>
    </row>
    <row r="246" spans="1:21">
      <c r="A246" t="s">
        <v>330</v>
      </c>
      <c r="B246" s="2">
        <f>IF(B45="No Generator",0,IF(B45="WG 100",1,IF(B45="WG 200",2,IF(B45="WG 300",3,IF(B45="WG 400",4,IF(B45="WG 500",5))))))</f>
        <v>0</v>
      </c>
      <c r="C246" s="2">
        <f>IF(C45="No Generator",0,IF(C45="WG 100",1,IF(C45="WG 200",2,IF(C45="WG 300",3,IF(C45="WG 400",4,IF(C45="WG 500",5))))))</f>
        <v>0</v>
      </c>
      <c r="D246" s="2">
        <f>IF(D45="No Generator",0,IF(D45="WG 100",1,IF(D45="WG 200",2,IF(D45="WG 300",3,IF(D45="WG 400",4,IF(D45="WG 500",5))))))</f>
        <v>0</v>
      </c>
      <c r="E246" s="2">
        <f>IF(E45="No Generator",0,IF(E45="WG 100",1,IF(E45="WG 200",2,IF(E45="WG 300",3,IF(E45="WG 400",4,IF(E45="WG 500",5))))))</f>
        <v>0</v>
      </c>
      <c r="F246" s="2">
        <f>IF(F45="No Generator",0,IF(F45="WG 100",1,IF(F45="WG 200",2,IF(F45="WG 300",3,IF(F45="WG 400",4,IF(F45="WG 500",5))))))</f>
        <v>0</v>
      </c>
      <c r="G246" s="2">
        <f t="shared" ref="G246:U246" si="34">IF(G45="No Generator",0,IF(G45="WG 100",1,IF(G45="WG 200",2,IF(G45="WG 300",3,IF(G45="WG 400",4,IF(G45="WG 500",5))))))</f>
        <v>1</v>
      </c>
      <c r="H246" s="2">
        <f t="shared" si="34"/>
        <v>0</v>
      </c>
      <c r="I246" s="2">
        <f t="shared" si="34"/>
        <v>0</v>
      </c>
      <c r="J246" s="2">
        <f t="shared" si="34"/>
        <v>0</v>
      </c>
      <c r="K246" s="2">
        <f t="shared" si="34"/>
        <v>0</v>
      </c>
      <c r="L246" s="2">
        <f t="shared" si="34"/>
        <v>1</v>
      </c>
      <c r="M246" s="2">
        <f t="shared" si="34"/>
        <v>0</v>
      </c>
      <c r="N246" s="2">
        <f t="shared" si="34"/>
        <v>0</v>
      </c>
      <c r="O246" s="2">
        <f t="shared" si="34"/>
        <v>1</v>
      </c>
      <c r="P246" s="2">
        <f t="shared" si="34"/>
        <v>2</v>
      </c>
      <c r="Q246" s="2">
        <f t="shared" si="34"/>
        <v>5</v>
      </c>
      <c r="R246" s="2">
        <f t="shared" si="34"/>
        <v>5</v>
      </c>
      <c r="S246" s="2">
        <f t="shared" si="34"/>
        <v>5</v>
      </c>
      <c r="T246" s="2">
        <f t="shared" si="34"/>
        <v>5</v>
      </c>
      <c r="U246" s="2">
        <f t="shared" si="34"/>
        <v>5</v>
      </c>
    </row>
    <row r="247" spans="1:21">
      <c r="A247" t="s">
        <v>331</v>
      </c>
      <c r="B247" s="2">
        <f>IF(B43="No Generator",0,IF(B43="SG 100",1,IF(B43="SG 200",2,IF(B43="SG 300",3,IF(B43="SG 400",4,IF(B43="SG 500",5))))))</f>
        <v>0</v>
      </c>
      <c r="C247" s="2">
        <f t="shared" ref="C247:U247" si="35">IF(C43="No Generator",0,IF(C43="SG 100",1,IF(C43="SG 200",2,IF(C43="SG 300",3,IF(C43="SG 400",4,IF(C43="SG 500",5))))))</f>
        <v>0</v>
      </c>
      <c r="D247" s="2">
        <f t="shared" si="35"/>
        <v>0</v>
      </c>
      <c r="E247" s="2">
        <f t="shared" si="35"/>
        <v>1</v>
      </c>
      <c r="F247" s="2">
        <f t="shared" si="35"/>
        <v>1</v>
      </c>
      <c r="G247" s="2">
        <f t="shared" si="35"/>
        <v>0</v>
      </c>
      <c r="H247" s="2">
        <f t="shared" si="35"/>
        <v>2</v>
      </c>
      <c r="I247" s="2">
        <f t="shared" si="35"/>
        <v>2</v>
      </c>
      <c r="J247" s="2">
        <f t="shared" si="35"/>
        <v>3</v>
      </c>
      <c r="K247" s="2">
        <f t="shared" si="35"/>
        <v>3</v>
      </c>
      <c r="L247" s="2">
        <f t="shared" si="35"/>
        <v>3</v>
      </c>
      <c r="M247" s="2">
        <f t="shared" si="35"/>
        <v>5</v>
      </c>
      <c r="N247" s="2">
        <f t="shared" si="35"/>
        <v>5</v>
      </c>
      <c r="O247" s="2">
        <f t="shared" si="35"/>
        <v>5</v>
      </c>
      <c r="P247" s="2">
        <f t="shared" si="35"/>
        <v>5</v>
      </c>
      <c r="Q247" s="2">
        <f t="shared" si="35"/>
        <v>2</v>
      </c>
      <c r="R247" s="2">
        <f t="shared" si="35"/>
        <v>2</v>
      </c>
      <c r="S247" s="2">
        <f t="shared" si="35"/>
        <v>3</v>
      </c>
      <c r="T247" s="2">
        <f t="shared" si="35"/>
        <v>3</v>
      </c>
      <c r="U247" s="2">
        <f t="shared" si="35"/>
        <v>5</v>
      </c>
    </row>
    <row r="248" spans="1:21">
      <c r="A248" t="s">
        <v>339</v>
      </c>
      <c r="B248" s="11">
        <f>-IF(B246=0,0,IF(B246=1,$B$209*(1),IF(B246=2,$B$209*(1+0.95),IF(B246=3,$B$209*(1+0.95+0.9),IF(B246=4,$B$209*(1+0.95+0.9+0.85),IF(B246=5,$B$209*(1+0.95+0.9+0.85+0.8)))))))</f>
        <v>0</v>
      </c>
      <c r="C248" s="11">
        <f>-IF(C246=0,0,IF(C246=1,$B$209*(1),IF(C246=2,$B$209*(1+0.95),IF(C246=3,$B$209*(1+0.95+0.9),IF(C246=4,$B$209*(1+0.95+0.9+0.85),IF(C246=5,$B$209*(1+0.95+0.9+0.85+0.8)))))))</f>
        <v>0</v>
      </c>
      <c r="D248" s="11">
        <f>-IF(D246=0,0,IF(D246=1,$B$209*(1),IF(D246=2,$B$209*(1+0.95),IF(D246=3,$B$209*(1+0.95+0.9),IF(D246=4,$B$209*(1+0.95+0.9+0.85),IF(D246=5,$B$209*(1+0.95+0.9+0.85+0.8)))))))</f>
        <v>0</v>
      </c>
      <c r="E248" s="11">
        <f>-IF(E246=0,0,IF(E246=1,$B$209*(1),IF(E246=2,$B$209*(1+0.95),IF(E246=3,$B$209*(1+0.95+0.9),IF(E246=4,$B$209*(1+0.95+0.9+0.85),IF(E246=5,$B$209*(1+0.95+0.9+0.85+0.8)))))))</f>
        <v>0</v>
      </c>
      <c r="F248" s="11">
        <f>-IF(F246=0,0,IF(F246=1,$B$209*(1),IF(F246=2,$B$209*(1+0.95),IF(F246=3,$B$209*(1+0.95+0.9),IF(F246=4,$B$209*(1+0.95+0.9+0.85),IF(F246=5,$B$209*(1+0.95+0.9+0.85+0.8)))))))</f>
        <v>0</v>
      </c>
      <c r="G248" s="11">
        <f t="shared" ref="G248:U248" si="36">-IF(G246=0,0,IF(G246=1,$B$209*(1),IF(G246=2,$B$209*(1+0.95),IF(G246=3,$B$209*(1+0.95+0.9),IF(G246=4,$B$209*(1+0.95+0.9+0.85),IF(G246=5,$B$209*(1+0.95+0.9+0.85+0.8)))))))</f>
        <v>-560000</v>
      </c>
      <c r="H248" s="11">
        <f t="shared" si="36"/>
        <v>0</v>
      </c>
      <c r="I248" s="11">
        <f t="shared" si="36"/>
        <v>0</v>
      </c>
      <c r="J248" s="11">
        <f t="shared" si="36"/>
        <v>0</v>
      </c>
      <c r="K248" s="11">
        <f t="shared" si="36"/>
        <v>0</v>
      </c>
      <c r="L248" s="11">
        <f t="shared" si="36"/>
        <v>-560000</v>
      </c>
      <c r="M248" s="11">
        <f t="shared" si="36"/>
        <v>0</v>
      </c>
      <c r="N248" s="11">
        <f t="shared" si="36"/>
        <v>0</v>
      </c>
      <c r="O248" s="11">
        <f t="shared" si="36"/>
        <v>-560000</v>
      </c>
      <c r="P248" s="11">
        <f t="shared" si="36"/>
        <v>-1092000</v>
      </c>
      <c r="Q248" s="11">
        <f t="shared" si="36"/>
        <v>-2520000</v>
      </c>
      <c r="R248" s="11">
        <f t="shared" si="36"/>
        <v>-2520000</v>
      </c>
      <c r="S248" s="11">
        <f t="shared" si="36"/>
        <v>-2520000</v>
      </c>
      <c r="T248" s="11">
        <f t="shared" si="36"/>
        <v>-2520000</v>
      </c>
      <c r="U248" s="11">
        <f t="shared" si="36"/>
        <v>-2520000</v>
      </c>
    </row>
    <row r="249" spans="1:21">
      <c r="A249" t="s">
        <v>352</v>
      </c>
      <c r="B249" s="11">
        <v>0</v>
      </c>
      <c r="C249" s="11">
        <v>0</v>
      </c>
      <c r="D249" s="11">
        <v>0</v>
      </c>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row>
    <row r="250" spans="1:21">
      <c r="A250" t="s">
        <v>336</v>
      </c>
      <c r="B250" s="11">
        <f>-NPV($B$173,0,0,0,0,0,0,0,0,0,0,875*B247*100)</f>
        <v>0</v>
      </c>
      <c r="C250" s="11">
        <f>-NPV($B$173,0,0,0,0,0,0,0,0,0,0,875*C247*100)</f>
        <v>0</v>
      </c>
      <c r="D250" s="11">
        <f t="shared" ref="D250:U250" si="37">-NPV($B$173,0,0,0,0,0,0,0,0,0,0,875*D247*100)</f>
        <v>0</v>
      </c>
      <c r="E250" s="11">
        <f t="shared" si="37"/>
        <v>-63211.861702391681</v>
      </c>
      <c r="F250" s="11">
        <f>-NPV($B$173,0,0,0,0,0,0,0,0,0,0,875*F247*100)</f>
        <v>-63211.861702391681</v>
      </c>
      <c r="G250" s="11">
        <f t="shared" si="37"/>
        <v>0</v>
      </c>
      <c r="H250" s="11">
        <f t="shared" si="37"/>
        <v>-126423.72340478336</v>
      </c>
      <c r="I250" s="11">
        <f t="shared" si="37"/>
        <v>-126423.72340478336</v>
      </c>
      <c r="J250" s="11">
        <f t="shared" si="37"/>
        <v>-189635.58510717505</v>
      </c>
      <c r="K250" s="11">
        <f t="shared" si="37"/>
        <v>-189635.58510717505</v>
      </c>
      <c r="L250" s="11">
        <f t="shared" si="37"/>
        <v>-189635.58510717505</v>
      </c>
      <c r="M250" s="11">
        <f t="shared" si="37"/>
        <v>-316059.3085119584</v>
      </c>
      <c r="N250" s="11">
        <f t="shared" si="37"/>
        <v>-316059.3085119584</v>
      </c>
      <c r="O250" s="11">
        <f t="shared" si="37"/>
        <v>-316059.3085119584</v>
      </c>
      <c r="P250" s="11">
        <f t="shared" si="37"/>
        <v>-316059.3085119584</v>
      </c>
      <c r="Q250" s="11">
        <f t="shared" si="37"/>
        <v>-126423.72340478336</v>
      </c>
      <c r="R250" s="11">
        <f t="shared" si="37"/>
        <v>-126423.72340478336</v>
      </c>
      <c r="S250" s="11">
        <f t="shared" si="37"/>
        <v>-189635.58510717505</v>
      </c>
      <c r="T250" s="11">
        <f t="shared" si="37"/>
        <v>-189635.58510717505</v>
      </c>
      <c r="U250" s="11">
        <f t="shared" si="37"/>
        <v>-316059.3085119584</v>
      </c>
    </row>
    <row r="251" spans="1:21">
      <c r="A251" t="s">
        <v>340</v>
      </c>
      <c r="B251" s="11">
        <f>-IF(B247=0,0,IF(B247=1,17500*(1),IF(B247=2,17500*(1+0.975),IF(B247=3,17500*(1+0.975+0.95),IF(B247=4,17500*(1+0.975+0.95+0.925),IF(B247=5,17500*(1+0.975+0.95+0.925+0.9)))))))</f>
        <v>0</v>
      </c>
      <c r="C251" s="11">
        <f>-IF(C247=0,0,IF(C247=1,17500*(1),IF(C247=2,17500*(1+0.975),IF(C247=3,17500*(1+0.975+0.95),IF(C247=4,17500*(1+0.975+0.95+0.925),IF(C247=5,17500*(1+0.975+0.95+0.925+0.9)))))))</f>
        <v>0</v>
      </c>
      <c r="D251" s="11">
        <f>-IF(D247=0,0,IF(D247=1,17500*(1),IF(D247=2,17500*(1+0.975),IF(D247=3,17500*(1+0.975+0.95),IF(D247=4,17500*(1+0.975+0.95+0.925),IF(D247=5,17500*(1+0.975+0.95+0.925+0.9)))))))</f>
        <v>0</v>
      </c>
      <c r="E251" s="11">
        <f>-IF(E247=0,0,IF(E247=1,17500*(1),IF(E247=2,17500*(1+0.975),IF(E247=3,17500*(1+0.975+0.95),IF(E247=4,17500*(1+0.975+0.95+0.925),IF(E247=5,17500*(1+0.975+0.95+0.925+0.9)))))))</f>
        <v>-17500</v>
      </c>
      <c r="F251" s="11">
        <f>-IF(F247=0,0,IF(F247=1,17500*(1),IF(F247=2,17500*(1+0.975),IF(F247=3,17500*(1+0.975+0.95),IF(F247=4,17500*(1+0.975+0.95+0.925),IF(F247=5,17500*(1+0.975+0.95+0.925+0.9)))))))</f>
        <v>-17500</v>
      </c>
      <c r="G251" s="11">
        <f t="shared" ref="G251:U251" si="38">-IF(G247=0,0,IF(G247=1,17500*(1),IF(G247=2,17500*(1+0.975),IF(G247=3,17500*(1+0.975+0.95),IF(G247=4,17500*(1+0.975+0.95+0.925),IF(G247=5,17500*(1+0.975+0.95+0.925+0.9)))))))</f>
        <v>0</v>
      </c>
      <c r="H251" s="11">
        <f t="shared" si="38"/>
        <v>-34562.5</v>
      </c>
      <c r="I251" s="11">
        <f t="shared" si="38"/>
        <v>-34562.5</v>
      </c>
      <c r="J251" s="11">
        <f t="shared" si="38"/>
        <v>-51187.5</v>
      </c>
      <c r="K251" s="11">
        <f t="shared" si="38"/>
        <v>-51187.5</v>
      </c>
      <c r="L251" s="11">
        <f t="shared" si="38"/>
        <v>-51187.5</v>
      </c>
      <c r="M251" s="11">
        <f t="shared" si="38"/>
        <v>-83125</v>
      </c>
      <c r="N251" s="11">
        <f t="shared" si="38"/>
        <v>-83125</v>
      </c>
      <c r="O251" s="11">
        <f t="shared" si="38"/>
        <v>-83125</v>
      </c>
      <c r="P251" s="11">
        <f t="shared" si="38"/>
        <v>-83125</v>
      </c>
      <c r="Q251" s="11">
        <f t="shared" si="38"/>
        <v>-34562.5</v>
      </c>
      <c r="R251" s="11">
        <f t="shared" si="38"/>
        <v>-34562.5</v>
      </c>
      <c r="S251" s="11">
        <f t="shared" si="38"/>
        <v>-51187.5</v>
      </c>
      <c r="T251" s="11">
        <f t="shared" si="38"/>
        <v>-51187.5</v>
      </c>
      <c r="U251" s="11">
        <f t="shared" si="38"/>
        <v>-83125</v>
      </c>
    </row>
    <row r="252" spans="1:21">
      <c r="A252" t="s">
        <v>341</v>
      </c>
      <c r="B252" s="11">
        <f t="shared" ref="B252:P252" si="39">-B247*$B$211*24*365</f>
        <v>0</v>
      </c>
      <c r="C252" s="11">
        <f t="shared" si="39"/>
        <v>0</v>
      </c>
      <c r="D252" s="11">
        <f t="shared" si="39"/>
        <v>0</v>
      </c>
      <c r="E252" s="11">
        <f t="shared" si="39"/>
        <v>-4730.4000000000005</v>
      </c>
      <c r="F252" s="11">
        <f t="shared" si="39"/>
        <v>-4730.4000000000005</v>
      </c>
      <c r="G252" s="11">
        <f t="shared" si="39"/>
        <v>0</v>
      </c>
      <c r="H252" s="11">
        <f t="shared" si="39"/>
        <v>-9460.8000000000011</v>
      </c>
      <c r="I252" s="11">
        <f t="shared" si="39"/>
        <v>-9460.8000000000011</v>
      </c>
      <c r="J252" s="11">
        <f t="shared" si="39"/>
        <v>-14191.2</v>
      </c>
      <c r="K252" s="11">
        <f t="shared" si="39"/>
        <v>-14191.2</v>
      </c>
      <c r="L252" s="11">
        <f t="shared" si="39"/>
        <v>-14191.2</v>
      </c>
      <c r="M252" s="11">
        <f t="shared" si="39"/>
        <v>-23652.000000000004</v>
      </c>
      <c r="N252" s="11">
        <f t="shared" si="39"/>
        <v>-23652.000000000004</v>
      </c>
      <c r="O252" s="11">
        <f t="shared" si="39"/>
        <v>-23652.000000000004</v>
      </c>
      <c r="P252" s="11">
        <f t="shared" si="39"/>
        <v>-23652.000000000004</v>
      </c>
      <c r="Q252" s="11">
        <f>-Q247*$B$211*24*365</f>
        <v>-9460.8000000000011</v>
      </c>
      <c r="R252" s="11">
        <f>-R247*$B$211*24*365</f>
        <v>-9460.8000000000011</v>
      </c>
      <c r="S252" s="11">
        <f>-S247*$B$211*24*365</f>
        <v>-14191.2</v>
      </c>
      <c r="T252" s="11">
        <f>-T247*$B$211*24*365</f>
        <v>-14191.2</v>
      </c>
      <c r="U252" s="11">
        <f>-U247*$B$211*24*365</f>
        <v>-23652.000000000004</v>
      </c>
    </row>
    <row r="253" spans="1:21">
      <c r="B253" s="2"/>
      <c r="C253" s="2"/>
      <c r="D253" s="2"/>
      <c r="E253" s="2"/>
      <c r="F253" s="2"/>
      <c r="G253" s="2"/>
      <c r="H253" s="2"/>
      <c r="I253" s="2"/>
      <c r="J253" s="2"/>
      <c r="K253" s="2"/>
      <c r="L253" s="2"/>
      <c r="M253" s="2"/>
      <c r="N253" s="2"/>
      <c r="O253" s="2"/>
      <c r="P253" s="2"/>
      <c r="Q253" s="2"/>
      <c r="R253" s="2"/>
      <c r="S253" s="2"/>
      <c r="T253" s="2"/>
      <c r="U253" s="2"/>
    </row>
    <row r="254" spans="1:21">
      <c r="A254" t="s">
        <v>337</v>
      </c>
      <c r="B254" s="2"/>
      <c r="C254" s="2"/>
      <c r="D254" s="2"/>
      <c r="E254" s="2"/>
      <c r="F254" s="2"/>
      <c r="G254" s="2"/>
      <c r="H254" s="2"/>
      <c r="I254" s="2"/>
      <c r="J254" s="2"/>
      <c r="K254" s="2"/>
      <c r="L254" s="2"/>
      <c r="M254" s="2"/>
      <c r="N254" s="2"/>
      <c r="O254" s="2"/>
      <c r="P254" s="2"/>
    </row>
    <row r="255" spans="1:21">
      <c r="A255" t="s">
        <v>100</v>
      </c>
      <c r="B255" s="2"/>
      <c r="C255" s="2"/>
      <c r="D255" s="2"/>
      <c r="E255" s="2"/>
      <c r="F255" s="2"/>
      <c r="G255" s="2"/>
      <c r="H255" s="2"/>
      <c r="I255" s="2"/>
      <c r="J255" s="2"/>
      <c r="K255" s="2"/>
      <c r="L255" s="2"/>
      <c r="M255" s="2"/>
      <c r="N255" s="2"/>
      <c r="O255" s="2"/>
      <c r="P255" s="2"/>
    </row>
    <row r="256" spans="1:21">
      <c r="A256">
        <v>1</v>
      </c>
      <c r="B256" s="11">
        <f t="shared" ref="B256:P256" si="40">SUM(B237:B240,B230:B233,B251:B252)</f>
        <v>-191229.10329242671</v>
      </c>
      <c r="C256" s="11">
        <f t="shared" si="40"/>
        <v>-193122.4020021754</v>
      </c>
      <c r="D256" s="11">
        <f t="shared" si="40"/>
        <v>-189155.79406500619</v>
      </c>
      <c r="E256" s="11">
        <f t="shared" si="40"/>
        <v>-200240.59312550887</v>
      </c>
      <c r="F256" s="11">
        <f t="shared" si="40"/>
        <v>-197856.24096089706</v>
      </c>
      <c r="G256" s="11">
        <f t="shared" si="40"/>
        <v>-166896.18988542954</v>
      </c>
      <c r="H256" s="11">
        <f t="shared" si="40"/>
        <v>-221520.37968178943</v>
      </c>
      <c r="I256" s="11">
        <f t="shared" si="40"/>
        <v>-222637.94790934096</v>
      </c>
      <c r="J256" s="11">
        <f t="shared" si="40"/>
        <v>-241463.58282982634</v>
      </c>
      <c r="K256" s="11">
        <f t="shared" si="40"/>
        <v>-240952.92088291902</v>
      </c>
      <c r="L256" s="11">
        <f t="shared" si="40"/>
        <v>-229483.49738274576</v>
      </c>
      <c r="M256" s="11">
        <f t="shared" si="40"/>
        <v>-279552.42556182854</v>
      </c>
      <c r="N256" s="11">
        <f t="shared" si="40"/>
        <v>-284740.00712529093</v>
      </c>
      <c r="O256" s="11">
        <f t="shared" si="40"/>
        <v>-272470.11668565409</v>
      </c>
      <c r="P256" s="11">
        <f t="shared" si="40"/>
        <v>-270119.21034394996</v>
      </c>
      <c r="Q256" s="11">
        <f>SUM(Q237:Q240,Q230:Q233,Q251:Q252)</f>
        <v>-206880.21072263058</v>
      </c>
      <c r="R256" s="11">
        <f>SUM(R237:R240,R230:R233,R251:R252)</f>
        <v>-206616.15829166639</v>
      </c>
      <c r="S256" s="11">
        <f>SUM(S237:S240,S230:S233,S251:S252)</f>
        <v>-228761.8912919861</v>
      </c>
      <c r="T256" s="11">
        <f>SUM(T237:T240,T230:T233,T251:T252)</f>
        <v>-228115.84028168922</v>
      </c>
      <c r="U256" s="11">
        <f>SUM(U237:U240,U230:U233,U251:U252)</f>
        <v>-270435.97327226395</v>
      </c>
    </row>
    <row r="257" spans="1:21">
      <c r="A257">
        <v>2</v>
      </c>
      <c r="B257" s="11">
        <f t="shared" ref="B257:I266" si="41">B$256/((1+$B$173)^$A257)</f>
        <v>-180251.77047075759</v>
      </c>
      <c r="C257" s="11">
        <f t="shared" si="41"/>
        <v>-182036.3860893349</v>
      </c>
      <c r="D257" s="11">
        <f t="shared" si="41"/>
        <v>-178297.47767462174</v>
      </c>
      <c r="E257" s="11">
        <f t="shared" si="41"/>
        <v>-188745.96392262125</v>
      </c>
      <c r="F257" s="11">
        <f t="shared" si="41"/>
        <v>-186498.48332632394</v>
      </c>
      <c r="G257" s="11">
        <f t="shared" si="41"/>
        <v>-157315.66583601615</v>
      </c>
      <c r="H257" s="11">
        <f t="shared" si="41"/>
        <v>-208804.20367781076</v>
      </c>
      <c r="I257" s="11">
        <f t="shared" si="41"/>
        <v>-209857.61891727868</v>
      </c>
      <c r="J257" s="11">
        <f t="shared" ref="J257:U266" si="42">J$256/((1+$B$173)^$A257)</f>
        <v>-227602.58538017375</v>
      </c>
      <c r="K257" s="11">
        <f t="shared" si="42"/>
        <v>-227121.23751806864</v>
      </c>
      <c r="L257" s="11">
        <f t="shared" si="42"/>
        <v>-216310.20584668277</v>
      </c>
      <c r="M257" s="11">
        <f t="shared" si="42"/>
        <v>-263504.97272299795</v>
      </c>
      <c r="N257" s="11">
        <f t="shared" si="42"/>
        <v>-268394.76588301529</v>
      </c>
      <c r="O257" s="11">
        <f t="shared" si="42"/>
        <v>-256829.21734909425</v>
      </c>
      <c r="P257" s="11">
        <f t="shared" si="42"/>
        <v>-254613.26264864736</v>
      </c>
      <c r="Q257" s="11">
        <f t="shared" si="42"/>
        <v>-195004.44030788066</v>
      </c>
      <c r="R257" s="11">
        <f t="shared" si="42"/>
        <v>-194755.54556665698</v>
      </c>
      <c r="S257" s="11">
        <f t="shared" si="42"/>
        <v>-215630.02289752674</v>
      </c>
      <c r="T257" s="11">
        <f t="shared" si="42"/>
        <v>-215021.05785812918</v>
      </c>
      <c r="U257" s="11">
        <f t="shared" si="42"/>
        <v>-254911.84208904134</v>
      </c>
    </row>
    <row r="258" spans="1:21">
      <c r="A258">
        <v>3</v>
      </c>
      <c r="B258" s="11">
        <f t="shared" si="41"/>
        <v>-175001.71890364811</v>
      </c>
      <c r="C258" s="11">
        <f t="shared" si="41"/>
        <v>-176734.35542653874</v>
      </c>
      <c r="D258" s="11">
        <f t="shared" si="41"/>
        <v>-173104.34725691431</v>
      </c>
      <c r="E258" s="11">
        <f t="shared" si="41"/>
        <v>-183248.50866273907</v>
      </c>
      <c r="F258" s="11">
        <f t="shared" si="41"/>
        <v>-181066.48866633393</v>
      </c>
      <c r="G258" s="11">
        <f t="shared" si="41"/>
        <v>-152733.65615147201</v>
      </c>
      <c r="H258" s="11">
        <f t="shared" si="41"/>
        <v>-202722.52784253471</v>
      </c>
      <c r="I258" s="11">
        <f t="shared" si="41"/>
        <v>-203745.26108473659</v>
      </c>
      <c r="J258" s="11">
        <f t="shared" si="42"/>
        <v>-220973.38386424637</v>
      </c>
      <c r="K258" s="11">
        <f t="shared" si="42"/>
        <v>-220506.05584278508</v>
      </c>
      <c r="L258" s="11">
        <f t="shared" si="42"/>
        <v>-210009.9085890124</v>
      </c>
      <c r="M258" s="11">
        <f t="shared" si="42"/>
        <v>-255830.0706048524</v>
      </c>
      <c r="N258" s="11">
        <f t="shared" si="42"/>
        <v>-260577.44260486923</v>
      </c>
      <c r="O258" s="11">
        <f t="shared" si="42"/>
        <v>-249348.75470785849</v>
      </c>
      <c r="P258" s="11">
        <f t="shared" si="42"/>
        <v>-247197.3423773275</v>
      </c>
      <c r="Q258" s="11">
        <f t="shared" si="42"/>
        <v>-189324.69932803945</v>
      </c>
      <c r="R258" s="11">
        <f t="shared" si="42"/>
        <v>-189083.05394821067</v>
      </c>
      <c r="S258" s="11">
        <f t="shared" si="42"/>
        <v>-209349.53679371526</v>
      </c>
      <c r="T258" s="11">
        <f t="shared" si="42"/>
        <v>-208758.3086001254</v>
      </c>
      <c r="U258" s="11">
        <f t="shared" si="42"/>
        <v>-247487.22532916634</v>
      </c>
    </row>
    <row r="259" spans="1:21">
      <c r="A259">
        <v>4</v>
      </c>
      <c r="B259" s="11">
        <f t="shared" si="41"/>
        <v>-169904.58145985258</v>
      </c>
      <c r="C259" s="11">
        <f t="shared" si="41"/>
        <v>-171586.75284129975</v>
      </c>
      <c r="D259" s="11">
        <f t="shared" si="41"/>
        <v>-168062.47306496536</v>
      </c>
      <c r="E259" s="11">
        <f t="shared" si="41"/>
        <v>-177911.17345896998</v>
      </c>
      <c r="F259" s="11">
        <f t="shared" si="41"/>
        <v>-175792.70744304266</v>
      </c>
      <c r="G259" s="11">
        <f t="shared" si="41"/>
        <v>-148285.10305968157</v>
      </c>
      <c r="H259" s="11">
        <f t="shared" si="41"/>
        <v>-196817.98819663565</v>
      </c>
      <c r="I259" s="11">
        <f t="shared" si="41"/>
        <v>-197810.93309197729</v>
      </c>
      <c r="J259" s="11">
        <f t="shared" si="42"/>
        <v>-214537.26588761783</v>
      </c>
      <c r="K259" s="11">
        <f t="shared" si="42"/>
        <v>-214083.54936192729</v>
      </c>
      <c r="L259" s="11">
        <f t="shared" si="42"/>
        <v>-203893.1151349635</v>
      </c>
      <c r="M259" s="11">
        <f t="shared" si="42"/>
        <v>-248378.70932509942</v>
      </c>
      <c r="N259" s="11">
        <f t="shared" si="42"/>
        <v>-252987.80835424198</v>
      </c>
      <c r="O259" s="11">
        <f t="shared" si="42"/>
        <v>-242086.16961928012</v>
      </c>
      <c r="P259" s="11">
        <f t="shared" si="42"/>
        <v>-239997.41978381315</v>
      </c>
      <c r="Q259" s="11">
        <f t="shared" si="42"/>
        <v>-183810.3876971257</v>
      </c>
      <c r="R259" s="11">
        <f t="shared" si="42"/>
        <v>-183575.78053224337</v>
      </c>
      <c r="S259" s="11">
        <f t="shared" si="42"/>
        <v>-203251.97746962649</v>
      </c>
      <c r="T259" s="11">
        <f t="shared" si="42"/>
        <v>-202677.96951468487</v>
      </c>
      <c r="U259" s="11">
        <f t="shared" si="42"/>
        <v>-240278.85954287995</v>
      </c>
    </row>
    <row r="260" spans="1:21">
      <c r="A260">
        <v>5</v>
      </c>
      <c r="B260" s="11">
        <f t="shared" si="41"/>
        <v>-164955.90432995395</v>
      </c>
      <c r="C260" s="11">
        <f t="shared" si="41"/>
        <v>-166589.08042844638</v>
      </c>
      <c r="D260" s="11">
        <f t="shared" si="41"/>
        <v>-163167.44957763629</v>
      </c>
      <c r="E260" s="11">
        <f t="shared" si="41"/>
        <v>-172729.2946203592</v>
      </c>
      <c r="F260" s="11">
        <f t="shared" si="41"/>
        <v>-170672.53149809968</v>
      </c>
      <c r="G260" s="11">
        <f t="shared" si="41"/>
        <v>-143966.11947541899</v>
      </c>
      <c r="H260" s="11">
        <f t="shared" si="41"/>
        <v>-191085.42543362686</v>
      </c>
      <c r="I260" s="11">
        <f t="shared" si="41"/>
        <v>-192049.44960386146</v>
      </c>
      <c r="J260" s="11">
        <f t="shared" si="42"/>
        <v>-208288.60765788142</v>
      </c>
      <c r="K260" s="11">
        <f t="shared" si="42"/>
        <v>-207848.10617662844</v>
      </c>
      <c r="L260" s="11">
        <f t="shared" si="42"/>
        <v>-197954.48071355681</v>
      </c>
      <c r="M260" s="11">
        <f t="shared" si="42"/>
        <v>-241144.37798553344</v>
      </c>
      <c r="N260" s="11">
        <f t="shared" si="42"/>
        <v>-245619.23141188544</v>
      </c>
      <c r="O260" s="11">
        <f t="shared" si="42"/>
        <v>-235035.11613522342</v>
      </c>
      <c r="P260" s="11">
        <f t="shared" si="42"/>
        <v>-233007.20367360499</v>
      </c>
      <c r="Q260" s="11">
        <f t="shared" si="42"/>
        <v>-178456.68708458808</v>
      </c>
      <c r="R260" s="11">
        <f t="shared" si="42"/>
        <v>-178228.91313810038</v>
      </c>
      <c r="S260" s="11">
        <f t="shared" si="42"/>
        <v>-197332.01696080243</v>
      </c>
      <c r="T260" s="11">
        <f t="shared" si="42"/>
        <v>-196774.72768416008</v>
      </c>
      <c r="U260" s="11">
        <f t="shared" si="42"/>
        <v>-233280.44615813589</v>
      </c>
    </row>
    <row r="261" spans="1:21">
      <c r="A261">
        <v>6</v>
      </c>
      <c r="B261" s="11">
        <f t="shared" si="41"/>
        <v>-160151.36342713976</v>
      </c>
      <c r="C261" s="11">
        <f t="shared" si="41"/>
        <v>-161736.97128975377</v>
      </c>
      <c r="D261" s="11">
        <f t="shared" si="41"/>
        <v>-158414.99958993812</v>
      </c>
      <c r="E261" s="11">
        <f t="shared" si="41"/>
        <v>-167698.34429161088</v>
      </c>
      <c r="F261" s="11">
        <f t="shared" si="41"/>
        <v>-165701.48689135889</v>
      </c>
      <c r="G261" s="11">
        <f t="shared" si="41"/>
        <v>-139772.931529533</v>
      </c>
      <c r="H261" s="11">
        <f t="shared" si="41"/>
        <v>-185519.83051808432</v>
      </c>
      <c r="I261" s="11">
        <f t="shared" si="41"/>
        <v>-186455.7763144286</v>
      </c>
      <c r="J261" s="11">
        <f t="shared" si="42"/>
        <v>-202221.94918240912</v>
      </c>
      <c r="K261" s="11">
        <f t="shared" si="42"/>
        <v>-201794.27784138682</v>
      </c>
      <c r="L261" s="11">
        <f t="shared" si="42"/>
        <v>-192188.81622675419</v>
      </c>
      <c r="M261" s="11">
        <f t="shared" si="42"/>
        <v>-234120.75532576061</v>
      </c>
      <c r="N261" s="11">
        <f t="shared" si="42"/>
        <v>-238465.27321542273</v>
      </c>
      <c r="O261" s="11">
        <f t="shared" si="42"/>
        <v>-228189.43314099361</v>
      </c>
      <c r="P261" s="11">
        <f t="shared" si="42"/>
        <v>-226220.58609087864</v>
      </c>
      <c r="Q261" s="11">
        <f t="shared" si="42"/>
        <v>-173258.91949960007</v>
      </c>
      <c r="R261" s="11">
        <f t="shared" si="42"/>
        <v>-173037.77974572851</v>
      </c>
      <c r="S261" s="11">
        <f t="shared" si="42"/>
        <v>-191584.48248621594</v>
      </c>
      <c r="T261" s="11">
        <f t="shared" si="42"/>
        <v>-191043.42493607773</v>
      </c>
      <c r="U261" s="11">
        <f t="shared" si="42"/>
        <v>-226485.8700564426</v>
      </c>
    </row>
    <row r="262" spans="1:21">
      <c r="A262">
        <v>7</v>
      </c>
      <c r="B262" s="11">
        <f t="shared" si="41"/>
        <v>-155486.76060887353</v>
      </c>
      <c r="C262" s="11">
        <f t="shared" si="41"/>
        <v>-157026.18571820753</v>
      </c>
      <c r="D262" s="11">
        <f t="shared" si="41"/>
        <v>-153800.97047566806</v>
      </c>
      <c r="E262" s="11">
        <f t="shared" si="41"/>
        <v>-162813.92649670958</v>
      </c>
      <c r="F262" s="11">
        <f t="shared" si="41"/>
        <v>-160875.22999161057</v>
      </c>
      <c r="G262" s="11">
        <f t="shared" si="41"/>
        <v>-135701.87527139127</v>
      </c>
      <c r="H262" s="11">
        <f t="shared" si="41"/>
        <v>-180116.34030881972</v>
      </c>
      <c r="I262" s="11">
        <f t="shared" si="41"/>
        <v>-181025.02554798892</v>
      </c>
      <c r="J262" s="11">
        <f t="shared" si="42"/>
        <v>-196331.98949748458</v>
      </c>
      <c r="K262" s="11">
        <f t="shared" si="42"/>
        <v>-195916.77460328816</v>
      </c>
      <c r="L262" s="11">
        <f t="shared" si="42"/>
        <v>-186591.0837152953</v>
      </c>
      <c r="M262" s="11">
        <f t="shared" si="42"/>
        <v>-227301.70419976756</v>
      </c>
      <c r="N262" s="11">
        <f t="shared" si="42"/>
        <v>-231519.68273342011</v>
      </c>
      <c r="O262" s="11">
        <f t="shared" si="42"/>
        <v>-221543.13897183843</v>
      </c>
      <c r="P262" s="11">
        <f t="shared" si="42"/>
        <v>-219631.63698143556</v>
      </c>
      <c r="Q262" s="11">
        <f t="shared" si="42"/>
        <v>-168212.54320349521</v>
      </c>
      <c r="R262" s="11">
        <f t="shared" si="42"/>
        <v>-167997.84441332862</v>
      </c>
      <c r="S262" s="11">
        <f t="shared" si="42"/>
        <v>-186004.35192836498</v>
      </c>
      <c r="T262" s="11">
        <f t="shared" si="42"/>
        <v>-185479.05333599777</v>
      </c>
      <c r="U262" s="11">
        <f t="shared" si="42"/>
        <v>-219889.1942295559</v>
      </c>
    </row>
    <row r="263" spans="1:21">
      <c r="A263">
        <v>8</v>
      </c>
      <c r="B263" s="11">
        <f t="shared" si="41"/>
        <v>-150958.0200086151</v>
      </c>
      <c r="C263" s="11">
        <f t="shared" si="41"/>
        <v>-152452.60749340538</v>
      </c>
      <c r="D263" s="11">
        <f t="shared" si="41"/>
        <v>-149321.33055890107</v>
      </c>
      <c r="E263" s="11">
        <f t="shared" si="41"/>
        <v>-158071.77329777629</v>
      </c>
      <c r="F263" s="11">
        <f t="shared" si="41"/>
        <v>-156189.54368117533</v>
      </c>
      <c r="G263" s="11">
        <f t="shared" si="41"/>
        <v>-131749.39346737016</v>
      </c>
      <c r="H263" s="11">
        <f t="shared" si="41"/>
        <v>-174870.23330953374</v>
      </c>
      <c r="I263" s="11">
        <f t="shared" si="41"/>
        <v>-175752.45198833875</v>
      </c>
      <c r="J263" s="11">
        <f t="shared" si="42"/>
        <v>-190613.58203639282</v>
      </c>
      <c r="K263" s="11">
        <f t="shared" si="42"/>
        <v>-190210.46077989144</v>
      </c>
      <c r="L263" s="11">
        <f t="shared" si="42"/>
        <v>-181156.39195659742</v>
      </c>
      <c r="M263" s="11">
        <f t="shared" si="42"/>
        <v>-220681.26621336659</v>
      </c>
      <c r="N263" s="11">
        <f t="shared" si="42"/>
        <v>-224776.39100332052</v>
      </c>
      <c r="O263" s="11">
        <f t="shared" si="42"/>
        <v>-215090.42618625093</v>
      </c>
      <c r="P263" s="11">
        <f t="shared" si="42"/>
        <v>-213234.59901110249</v>
      </c>
      <c r="Q263" s="11">
        <f t="shared" si="42"/>
        <v>-163313.14874125749</v>
      </c>
      <c r="R263" s="11">
        <f t="shared" si="42"/>
        <v>-163104.7033139113</v>
      </c>
      <c r="S263" s="11">
        <f t="shared" si="42"/>
        <v>-180586.74944501458</v>
      </c>
      <c r="T263" s="11">
        <f t="shared" si="42"/>
        <v>-180076.75081164835</v>
      </c>
      <c r="U263" s="11">
        <f t="shared" si="42"/>
        <v>-213484.6545918019</v>
      </c>
    </row>
    <row r="264" spans="1:21">
      <c r="A264">
        <v>9</v>
      </c>
      <c r="B264" s="11">
        <f t="shared" si="41"/>
        <v>-146561.1844743836</v>
      </c>
      <c r="C264" s="11">
        <f t="shared" si="41"/>
        <v>-148012.24028485958</v>
      </c>
      <c r="D264" s="11">
        <f t="shared" si="41"/>
        <v>-144972.16559116606</v>
      </c>
      <c r="E264" s="11">
        <f t="shared" si="41"/>
        <v>-153467.74106580223</v>
      </c>
      <c r="F264" s="11">
        <f t="shared" si="41"/>
        <v>-151640.33367104401</v>
      </c>
      <c r="G264" s="11">
        <f t="shared" si="41"/>
        <v>-127912.03249259239</v>
      </c>
      <c r="H264" s="11">
        <f t="shared" si="41"/>
        <v>-169776.92554323663</v>
      </c>
      <c r="I264" s="11">
        <f t="shared" si="41"/>
        <v>-170633.44853236774</v>
      </c>
      <c r="J264" s="11">
        <f t="shared" si="42"/>
        <v>-185061.7301324202</v>
      </c>
      <c r="K264" s="11">
        <f t="shared" si="42"/>
        <v>-184670.35027173927</v>
      </c>
      <c r="L264" s="11">
        <f t="shared" si="42"/>
        <v>-175879.99219087127</v>
      </c>
      <c r="M264" s="11">
        <f t="shared" si="42"/>
        <v>-214253.65651783164</v>
      </c>
      <c r="N264" s="11">
        <f t="shared" si="42"/>
        <v>-218229.50582846653</v>
      </c>
      <c r="O264" s="11">
        <f t="shared" si="42"/>
        <v>-208825.65649150577</v>
      </c>
      <c r="P264" s="11">
        <f t="shared" si="42"/>
        <v>-207023.88253505097</v>
      </c>
      <c r="Q264" s="11">
        <f t="shared" si="42"/>
        <v>-158556.4550885995</v>
      </c>
      <c r="R264" s="11">
        <f t="shared" si="42"/>
        <v>-158354.08088729254</v>
      </c>
      <c r="S264" s="11">
        <f t="shared" si="42"/>
        <v>-175326.94120875199</v>
      </c>
      <c r="T264" s="11">
        <f t="shared" si="42"/>
        <v>-174831.79690451297</v>
      </c>
      <c r="U264" s="11">
        <f t="shared" si="42"/>
        <v>-207266.65494349698</v>
      </c>
    </row>
    <row r="265" spans="1:21">
      <c r="A265">
        <v>10</v>
      </c>
      <c r="B265" s="11">
        <f t="shared" si="41"/>
        <v>-142292.41211105202</v>
      </c>
      <c r="C265" s="11">
        <f t="shared" si="41"/>
        <v>-143701.20416005785</v>
      </c>
      <c r="D265" s="11">
        <f t="shared" si="41"/>
        <v>-140749.6753312292</v>
      </c>
      <c r="E265" s="11">
        <f t="shared" si="41"/>
        <v>-148997.80686000217</v>
      </c>
      <c r="F265" s="11">
        <f t="shared" si="41"/>
        <v>-147223.62492334368</v>
      </c>
      <c r="G265" s="11">
        <f t="shared" si="41"/>
        <v>-124186.4393131965</v>
      </c>
      <c r="H265" s="11">
        <f t="shared" si="41"/>
        <v>-164831.96654683168</v>
      </c>
      <c r="I265" s="11">
        <f t="shared" si="41"/>
        <v>-165663.54226443468</v>
      </c>
      <c r="J265" s="11">
        <f t="shared" si="42"/>
        <v>-179671.58265283515</v>
      </c>
      <c r="K265" s="11">
        <f t="shared" si="42"/>
        <v>-179291.6022055721</v>
      </c>
      <c r="L265" s="11">
        <f t="shared" si="42"/>
        <v>-170757.27397171967</v>
      </c>
      <c r="M265" s="11">
        <f t="shared" si="42"/>
        <v>-208013.25875517636</v>
      </c>
      <c r="N265" s="11">
        <f t="shared" si="42"/>
        <v>-211873.30662957914</v>
      </c>
      <c r="O265" s="11">
        <f t="shared" si="42"/>
        <v>-202743.35581699587</v>
      </c>
      <c r="P265" s="11">
        <f t="shared" si="42"/>
        <v>-200994.06071364172</v>
      </c>
      <c r="Q265" s="11">
        <f t="shared" si="42"/>
        <v>-153938.30591126165</v>
      </c>
      <c r="R265" s="11">
        <f t="shared" si="42"/>
        <v>-153741.8261041675</v>
      </c>
      <c r="S265" s="11">
        <f t="shared" si="42"/>
        <v>-170220.331270633</v>
      </c>
      <c r="T265" s="11">
        <f t="shared" si="42"/>
        <v>-169739.60864515821</v>
      </c>
      <c r="U265" s="11">
        <f t="shared" si="42"/>
        <v>-201229.76208106501</v>
      </c>
    </row>
    <row r="266" spans="1:21">
      <c r="A266">
        <v>11</v>
      </c>
      <c r="B266" s="11">
        <f t="shared" si="41"/>
        <v>-138147.97292335148</v>
      </c>
      <c r="C266" s="11">
        <f t="shared" si="41"/>
        <v>-139515.73219423092</v>
      </c>
      <c r="D266" s="11">
        <f t="shared" si="41"/>
        <v>-136650.17022449436</v>
      </c>
      <c r="E266" s="11">
        <f t="shared" si="41"/>
        <v>-144658.06491262346</v>
      </c>
      <c r="F266" s="11">
        <f t="shared" si="41"/>
        <v>-142935.55817800359</v>
      </c>
      <c r="G266" s="11">
        <f t="shared" si="41"/>
        <v>-120569.35855650145</v>
      </c>
      <c r="H266" s="11">
        <f t="shared" si="41"/>
        <v>-160031.03548236084</v>
      </c>
      <c r="I266" s="11">
        <f t="shared" si="41"/>
        <v>-160838.39054799484</v>
      </c>
      <c r="J266" s="11">
        <f t="shared" si="42"/>
        <v>-174438.42976003411</v>
      </c>
      <c r="K266" s="11">
        <f t="shared" si="42"/>
        <v>-174069.51670443892</v>
      </c>
      <c r="L266" s="11">
        <f t="shared" si="42"/>
        <v>-165783.76113759191</v>
      </c>
      <c r="M266" s="11">
        <f t="shared" si="42"/>
        <v>-201954.62015065664</v>
      </c>
      <c r="N266" s="11">
        <f t="shared" si="42"/>
        <v>-205702.23944619333</v>
      </c>
      <c r="O266" s="11">
        <f t="shared" si="42"/>
        <v>-196838.20953106394</v>
      </c>
      <c r="P266" s="11">
        <f t="shared" si="42"/>
        <v>-195139.86477052592</v>
      </c>
      <c r="Q266" s="11">
        <f t="shared" si="42"/>
        <v>-149454.66593326375</v>
      </c>
      <c r="R266" s="11">
        <f t="shared" si="42"/>
        <v>-149263.90883899757</v>
      </c>
      <c r="S266" s="11">
        <f t="shared" si="42"/>
        <v>-165262.45754430388</v>
      </c>
      <c r="T266" s="11">
        <f t="shared" si="42"/>
        <v>-164795.73654869728</v>
      </c>
      <c r="U266" s="11">
        <f t="shared" si="42"/>
        <v>-195368.70104957768</v>
      </c>
    </row>
    <row r="267" spans="1:21">
      <c r="A267">
        <v>12</v>
      </c>
      <c r="B267" s="11">
        <f t="shared" ref="B267:I275" si="43">B$256/((1+$B$173)^$A267)</f>
        <v>-134124.24555665193</v>
      </c>
      <c r="C267" s="11">
        <f t="shared" si="43"/>
        <v>-135452.167178865</v>
      </c>
      <c r="D267" s="11">
        <f t="shared" si="43"/>
        <v>-132670.06817912075</v>
      </c>
      <c r="E267" s="11">
        <f t="shared" si="43"/>
        <v>-140444.7232161393</v>
      </c>
      <c r="F267" s="11">
        <f t="shared" si="43"/>
        <v>-138772.38658058603</v>
      </c>
      <c r="G267" s="11">
        <f t="shared" si="43"/>
        <v>-117057.62966650628</v>
      </c>
      <c r="H267" s="11">
        <f t="shared" si="43"/>
        <v>-155369.93736151542</v>
      </c>
      <c r="I267" s="11">
        <f t="shared" si="43"/>
        <v>-156153.77723106297</v>
      </c>
      <c r="J267" s="11">
        <f t="shared" ref="J267:U275" si="44">J$256/((1+$B$173)^$A267)</f>
        <v>-169357.69879614966</v>
      </c>
      <c r="K267" s="11">
        <f t="shared" si="44"/>
        <v>-168999.53078100868</v>
      </c>
      <c r="L267" s="11">
        <f t="shared" si="44"/>
        <v>-160955.10790057469</v>
      </c>
      <c r="M267" s="11">
        <f t="shared" si="44"/>
        <v>-196072.44674821035</v>
      </c>
      <c r="N267" s="11">
        <f t="shared" si="44"/>
        <v>-199710.9120836829</v>
      </c>
      <c r="O267" s="11">
        <f t="shared" si="44"/>
        <v>-191105.05779714949</v>
      </c>
      <c r="P267" s="11">
        <f t="shared" si="44"/>
        <v>-189456.17938886015</v>
      </c>
      <c r="Q267" s="11">
        <f t="shared" si="44"/>
        <v>-145101.61741093569</v>
      </c>
      <c r="R267" s="11">
        <f t="shared" si="44"/>
        <v>-144916.41634854136</v>
      </c>
      <c r="S267" s="11">
        <f t="shared" si="44"/>
        <v>-160448.98790709118</v>
      </c>
      <c r="T267" s="11">
        <f t="shared" si="44"/>
        <v>-159995.86072689059</v>
      </c>
      <c r="U267" s="11">
        <f t="shared" si="44"/>
        <v>-189678.3505335706</v>
      </c>
    </row>
    <row r="268" spans="1:21">
      <c r="A268">
        <v>13</v>
      </c>
      <c r="B268" s="11">
        <f t="shared" si="43"/>
        <v>-130217.7141326718</v>
      </c>
      <c r="C268" s="11">
        <f t="shared" si="43"/>
        <v>-131506.95842608251</v>
      </c>
      <c r="D268" s="11">
        <f t="shared" si="43"/>
        <v>-128805.89143603957</v>
      </c>
      <c r="E268" s="11">
        <f t="shared" si="43"/>
        <v>-136354.10020984398</v>
      </c>
      <c r="F268" s="11">
        <f t="shared" si="43"/>
        <v>-134730.47240833595</v>
      </c>
      <c r="G268" s="11">
        <f t="shared" si="43"/>
        <v>-113648.18414223912</v>
      </c>
      <c r="H268" s="11">
        <f t="shared" si="43"/>
        <v>-150844.59938011205</v>
      </c>
      <c r="I268" s="11">
        <f t="shared" si="43"/>
        <v>-151605.60896219706</v>
      </c>
      <c r="J268" s="11">
        <f t="shared" si="44"/>
        <v>-164424.95028752394</v>
      </c>
      <c r="K268" s="11">
        <f t="shared" si="44"/>
        <v>-164077.21435049389</v>
      </c>
      <c r="L268" s="11">
        <f t="shared" si="44"/>
        <v>-156267.09504910166</v>
      </c>
      <c r="M268" s="11">
        <f t="shared" si="44"/>
        <v>-190361.59878467026</v>
      </c>
      <c r="N268" s="11">
        <f t="shared" si="44"/>
        <v>-193894.08940163389</v>
      </c>
      <c r="O268" s="11">
        <f t="shared" si="44"/>
        <v>-185538.89106519369</v>
      </c>
      <c r="P268" s="11">
        <f t="shared" si="44"/>
        <v>-183938.03824161182</v>
      </c>
      <c r="Q268" s="11">
        <f t="shared" si="44"/>
        <v>-140875.35670964629</v>
      </c>
      <c r="R268" s="11">
        <f t="shared" si="44"/>
        <v>-140695.5498529528</v>
      </c>
      <c r="S268" s="11">
        <f t="shared" si="44"/>
        <v>-155775.71641465163</v>
      </c>
      <c r="T268" s="11">
        <f t="shared" si="44"/>
        <v>-155335.78711348603</v>
      </c>
      <c r="U268" s="11">
        <f t="shared" si="44"/>
        <v>-184153.73838210737</v>
      </c>
    </row>
    <row r="269" spans="1:21">
      <c r="A269">
        <v>14</v>
      </c>
      <c r="B269" s="11">
        <f t="shared" si="43"/>
        <v>-126424.96517735125</v>
      </c>
      <c r="C269" s="11">
        <f t="shared" si="43"/>
        <v>-127676.65866609952</v>
      </c>
      <c r="D269" s="11">
        <f t="shared" si="43"/>
        <v>-125054.26353013549</v>
      </c>
      <c r="E269" s="11">
        <f t="shared" si="43"/>
        <v>-132382.62156295532</v>
      </c>
      <c r="F269" s="11">
        <f t="shared" si="43"/>
        <v>-130806.28389158829</v>
      </c>
      <c r="G269" s="11">
        <f t="shared" si="43"/>
        <v>-110338.04285654282</v>
      </c>
      <c r="H269" s="11">
        <f t="shared" si="43"/>
        <v>-146451.06735933208</v>
      </c>
      <c r="I269" s="11">
        <f t="shared" si="43"/>
        <v>-147189.91161378354</v>
      </c>
      <c r="J269" s="11">
        <f t="shared" si="44"/>
        <v>-159635.8740655572</v>
      </c>
      <c r="K269" s="11">
        <f t="shared" si="44"/>
        <v>-159298.26635970277</v>
      </c>
      <c r="L269" s="11">
        <f t="shared" si="44"/>
        <v>-151715.62626126374</v>
      </c>
      <c r="M269" s="11">
        <f t="shared" si="44"/>
        <v>-184817.08619870897</v>
      </c>
      <c r="N269" s="11">
        <f t="shared" si="44"/>
        <v>-188246.68873945036</v>
      </c>
      <c r="O269" s="11">
        <f t="shared" si="44"/>
        <v>-180134.8456943628</v>
      </c>
      <c r="P269" s="11">
        <f t="shared" si="44"/>
        <v>-178580.61965205029</v>
      </c>
      <c r="Q269" s="11">
        <f t="shared" si="44"/>
        <v>-136772.19098023913</v>
      </c>
      <c r="R269" s="11">
        <f t="shared" si="44"/>
        <v>-136597.621216459</v>
      </c>
      <c r="S269" s="11">
        <f t="shared" si="44"/>
        <v>-151238.55962587535</v>
      </c>
      <c r="T269" s="11">
        <f t="shared" si="44"/>
        <v>-150811.44379950096</v>
      </c>
      <c r="U269" s="11">
        <f t="shared" si="44"/>
        <v>-178790.03726418191</v>
      </c>
    </row>
    <row r="270" spans="1:21">
      <c r="A270">
        <v>15</v>
      </c>
      <c r="B270" s="11">
        <f t="shared" si="43"/>
        <v>-122742.68463820509</v>
      </c>
      <c r="C270" s="11">
        <f t="shared" si="43"/>
        <v>-123957.92103504807</v>
      </c>
      <c r="D270" s="11">
        <f t="shared" si="43"/>
        <v>-121411.90633993737</v>
      </c>
      <c r="E270" s="11">
        <f t="shared" si="43"/>
        <v>-128526.81705141292</v>
      </c>
      <c r="F270" s="11">
        <f t="shared" si="43"/>
        <v>-126996.39212775561</v>
      </c>
      <c r="G270" s="11">
        <f t="shared" si="43"/>
        <v>-107124.31345295419</v>
      </c>
      <c r="H270" s="11">
        <f t="shared" si="43"/>
        <v>-142185.50229061366</v>
      </c>
      <c r="I270" s="11">
        <f t="shared" si="43"/>
        <v>-142902.82680949857</v>
      </c>
      <c r="J270" s="11">
        <f t="shared" si="44"/>
        <v>-154986.28550054098</v>
      </c>
      <c r="K270" s="11">
        <f t="shared" si="44"/>
        <v>-154658.51102883765</v>
      </c>
      <c r="L270" s="11">
        <f t="shared" si="44"/>
        <v>-147296.72452549875</v>
      </c>
      <c r="M270" s="11">
        <f t="shared" si="44"/>
        <v>-179434.06427059122</v>
      </c>
      <c r="N270" s="11">
        <f t="shared" si="44"/>
        <v>-182763.7754751945</v>
      </c>
      <c r="O270" s="11">
        <f t="shared" si="44"/>
        <v>-174888.19970326484</v>
      </c>
      <c r="P270" s="11">
        <f t="shared" si="44"/>
        <v>-173379.24238063133</v>
      </c>
      <c r="Q270" s="11">
        <f t="shared" si="44"/>
        <v>-132788.53493227097</v>
      </c>
      <c r="R270" s="11">
        <f t="shared" si="44"/>
        <v>-132619.04972471748</v>
      </c>
      <c r="S270" s="11">
        <f t="shared" si="44"/>
        <v>-146833.55303483043</v>
      </c>
      <c r="T270" s="11">
        <f t="shared" si="44"/>
        <v>-146418.87747524364</v>
      </c>
      <c r="U270" s="11">
        <f t="shared" si="44"/>
        <v>-173582.56045066201</v>
      </c>
    </row>
    <row r="271" spans="1:21">
      <c r="A271">
        <v>16</v>
      </c>
      <c r="B271" s="11">
        <f t="shared" si="43"/>
        <v>-119167.65498854865</v>
      </c>
      <c r="C271" s="11">
        <f t="shared" si="43"/>
        <v>-120347.49615053213</v>
      </c>
      <c r="D271" s="11">
        <f t="shared" si="43"/>
        <v>-117875.63722324018</v>
      </c>
      <c r="E271" s="11">
        <f t="shared" si="43"/>
        <v>-124783.31752564364</v>
      </c>
      <c r="F271" s="11">
        <f t="shared" si="43"/>
        <v>-123297.46808519964</v>
      </c>
      <c r="G271" s="11">
        <f t="shared" si="43"/>
        <v>-104004.18781840213</v>
      </c>
      <c r="H271" s="11">
        <f t="shared" si="43"/>
        <v>-138044.17698117835</v>
      </c>
      <c r="I271" s="11">
        <f t="shared" si="43"/>
        <v>-138740.60855291126</v>
      </c>
      <c r="J271" s="11">
        <f t="shared" si="44"/>
        <v>-150472.12184518544</v>
      </c>
      <c r="K271" s="11">
        <f t="shared" si="44"/>
        <v>-150153.89420275501</v>
      </c>
      <c r="L271" s="11">
        <f t="shared" si="44"/>
        <v>-143006.52866553279</v>
      </c>
      <c r="M271" s="11">
        <f t="shared" si="44"/>
        <v>-174207.82938892356</v>
      </c>
      <c r="N271" s="11">
        <f t="shared" si="44"/>
        <v>-177440.55871378109</v>
      </c>
      <c r="O271" s="11">
        <f t="shared" si="44"/>
        <v>-169794.36864394648</v>
      </c>
      <c r="P271" s="11">
        <f t="shared" si="44"/>
        <v>-168329.36153459354</v>
      </c>
      <c r="Q271" s="11">
        <f t="shared" si="44"/>
        <v>-128920.90770123398</v>
      </c>
      <c r="R271" s="11">
        <f t="shared" si="44"/>
        <v>-128756.35895603641</v>
      </c>
      <c r="S271" s="11">
        <f t="shared" si="44"/>
        <v>-142556.84760663152</v>
      </c>
      <c r="T271" s="11">
        <f t="shared" si="44"/>
        <v>-142154.24997596475</v>
      </c>
      <c r="U271" s="11">
        <f t="shared" si="44"/>
        <v>-168526.75771908939</v>
      </c>
    </row>
    <row r="272" spans="1:21">
      <c r="A272">
        <v>17</v>
      </c>
      <c r="B272" s="11">
        <f t="shared" si="43"/>
        <v>-115696.75241606665</v>
      </c>
      <c r="C272" s="11">
        <f t="shared" si="43"/>
        <v>-116842.22927236129</v>
      </c>
      <c r="D272" s="11">
        <f t="shared" si="43"/>
        <v>-114442.36623615552</v>
      </c>
      <c r="E272" s="11">
        <f t="shared" si="43"/>
        <v>-121148.8519666443</v>
      </c>
      <c r="F272" s="11">
        <f t="shared" si="43"/>
        <v>-119706.27969436858</v>
      </c>
      <c r="G272" s="11">
        <f t="shared" si="43"/>
        <v>-100974.93962951664</v>
      </c>
      <c r="H272" s="11">
        <f t="shared" si="43"/>
        <v>-134023.4727972605</v>
      </c>
      <c r="I272" s="11">
        <f t="shared" si="43"/>
        <v>-134699.6199542828</v>
      </c>
      <c r="J272" s="11">
        <f t="shared" si="44"/>
        <v>-146089.43868464607</v>
      </c>
      <c r="K272" s="11">
        <f t="shared" si="44"/>
        <v>-145780.47980850001</v>
      </c>
      <c r="L272" s="11">
        <f t="shared" si="44"/>
        <v>-138841.28996653669</v>
      </c>
      <c r="M272" s="11">
        <f t="shared" si="44"/>
        <v>-169133.81494070249</v>
      </c>
      <c r="N272" s="11">
        <f t="shared" si="44"/>
        <v>-172272.38710075835</v>
      </c>
      <c r="O272" s="11">
        <f t="shared" si="44"/>
        <v>-164848.90159606453</v>
      </c>
      <c r="P272" s="11">
        <f t="shared" si="44"/>
        <v>-163426.56459669277</v>
      </c>
      <c r="Q272" s="11">
        <f t="shared" si="44"/>
        <v>-125165.92980702329</v>
      </c>
      <c r="R272" s="11">
        <f t="shared" si="44"/>
        <v>-125006.17374372466</v>
      </c>
      <c r="S272" s="11">
        <f t="shared" si="44"/>
        <v>-138404.70641420534</v>
      </c>
      <c r="T272" s="11">
        <f t="shared" si="44"/>
        <v>-138013.8349281211</v>
      </c>
      <c r="U272" s="11">
        <f t="shared" si="44"/>
        <v>-163618.21137775667</v>
      </c>
    </row>
    <row r="273" spans="1:21">
      <c r="A273">
        <v>18</v>
      </c>
      <c r="B273" s="11">
        <f t="shared" si="43"/>
        <v>-112326.94409326858</v>
      </c>
      <c r="C273" s="11">
        <f t="shared" si="43"/>
        <v>-113439.05754598184</v>
      </c>
      <c r="D273" s="11">
        <f t="shared" si="43"/>
        <v>-111109.0934331607</v>
      </c>
      <c r="E273" s="11">
        <f t="shared" si="43"/>
        <v>-117620.24462781</v>
      </c>
      <c r="F273" s="11">
        <f t="shared" si="43"/>
        <v>-116219.68902365882</v>
      </c>
      <c r="G273" s="11">
        <f t="shared" si="43"/>
        <v>-98033.921970404495</v>
      </c>
      <c r="H273" s="11">
        <f t="shared" si="43"/>
        <v>-130119.87650219467</v>
      </c>
      <c r="I273" s="11">
        <f t="shared" si="43"/>
        <v>-130776.33005270173</v>
      </c>
      <c r="J273" s="11">
        <f t="shared" si="44"/>
        <v>-141834.40648994764</v>
      </c>
      <c r="K273" s="11">
        <f t="shared" si="44"/>
        <v>-141534.44641601943</v>
      </c>
      <c r="L273" s="11">
        <f t="shared" si="44"/>
        <v>-134797.3688995502</v>
      </c>
      <c r="M273" s="11">
        <f t="shared" si="44"/>
        <v>-164207.58732107037</v>
      </c>
      <c r="N273" s="11">
        <f t="shared" si="44"/>
        <v>-167254.74475801783</v>
      </c>
      <c r="O273" s="11">
        <f t="shared" si="44"/>
        <v>-160047.47727773257</v>
      </c>
      <c r="P273" s="11">
        <f t="shared" si="44"/>
        <v>-158666.56756960464</v>
      </c>
      <c r="Q273" s="11">
        <f t="shared" si="44"/>
        <v>-121520.32020099348</v>
      </c>
      <c r="R273" s="11">
        <f t="shared" si="44"/>
        <v>-121365.21722691714</v>
      </c>
      <c r="S273" s="11">
        <f t="shared" si="44"/>
        <v>-134373.50137301491</v>
      </c>
      <c r="T273" s="11">
        <f t="shared" si="44"/>
        <v>-133994.01449332148</v>
      </c>
      <c r="U273" s="11">
        <f t="shared" si="44"/>
        <v>-158852.63240558901</v>
      </c>
    </row>
    <row r="274" spans="1:21">
      <c r="A274">
        <v>19</v>
      </c>
      <c r="B274" s="11">
        <f t="shared" si="43"/>
        <v>-109055.28552744523</v>
      </c>
      <c r="C274" s="11">
        <f t="shared" si="43"/>
        <v>-110135.00732619596</v>
      </c>
      <c r="D274" s="11">
        <f t="shared" si="43"/>
        <v>-107872.90624578709</v>
      </c>
      <c r="E274" s="11">
        <f t="shared" si="43"/>
        <v>-114194.41226000972</v>
      </c>
      <c r="F274" s="11">
        <f t="shared" si="43"/>
        <v>-112834.64953753284</v>
      </c>
      <c r="G274" s="11">
        <f t="shared" si="43"/>
        <v>-95178.565019810194</v>
      </c>
      <c r="H274" s="11">
        <f t="shared" si="43"/>
        <v>-126329.97718659678</v>
      </c>
      <c r="I274" s="11">
        <f t="shared" si="43"/>
        <v>-126967.31073077838</v>
      </c>
      <c r="J274" s="11">
        <f t="shared" si="44"/>
        <v>-137703.3072717938</v>
      </c>
      <c r="K274" s="11">
        <f t="shared" si="44"/>
        <v>-137412.08389904801</v>
      </c>
      <c r="L274" s="11">
        <f t="shared" si="44"/>
        <v>-130871.23194131086</v>
      </c>
      <c r="M274" s="11">
        <f t="shared" si="44"/>
        <v>-159424.84205929161</v>
      </c>
      <c r="N274" s="11">
        <f t="shared" si="44"/>
        <v>-162383.24733788139</v>
      </c>
      <c r="O274" s="11">
        <f t="shared" si="44"/>
        <v>-155385.90026964326</v>
      </c>
      <c r="P274" s="11">
        <f t="shared" si="44"/>
        <v>-154045.21123262585</v>
      </c>
      <c r="Q274" s="11">
        <f t="shared" si="44"/>
        <v>-117980.8933990228</v>
      </c>
      <c r="R274" s="11">
        <f t="shared" si="44"/>
        <v>-117830.30798729821</v>
      </c>
      <c r="S274" s="11">
        <f t="shared" si="44"/>
        <v>-130459.71007088826</v>
      </c>
      <c r="T274" s="11">
        <f t="shared" si="44"/>
        <v>-130091.27620710823</v>
      </c>
      <c r="U274" s="11">
        <f t="shared" si="44"/>
        <v>-154225.85670445536</v>
      </c>
    </row>
    <row r="275" spans="1:21">
      <c r="A275">
        <v>20</v>
      </c>
      <c r="B275" s="11">
        <f t="shared" si="43"/>
        <v>-105878.91798781091</v>
      </c>
      <c r="C275" s="11">
        <f t="shared" si="43"/>
        <v>-106927.19157883103</v>
      </c>
      <c r="D275" s="11">
        <f t="shared" si="43"/>
        <v>-104730.97693765737</v>
      </c>
      <c r="E275" s="11">
        <f t="shared" si="43"/>
        <v>-110868.36141748517</v>
      </c>
      <c r="F275" s="11">
        <f t="shared" si="43"/>
        <v>-109548.2034344979</v>
      </c>
      <c r="G275" s="11">
        <f t="shared" si="43"/>
        <v>-92406.373805640978</v>
      </c>
      <c r="H275" s="11">
        <f t="shared" si="43"/>
        <v>-122650.46328795803</v>
      </c>
      <c r="I275" s="11">
        <f t="shared" si="43"/>
        <v>-123269.23371920231</v>
      </c>
      <c r="J275" s="11">
        <f t="shared" si="44"/>
        <v>-133692.53133183866</v>
      </c>
      <c r="K275" s="11">
        <f t="shared" si="44"/>
        <v>-133409.79019325049</v>
      </c>
      <c r="L275" s="11">
        <f t="shared" si="44"/>
        <v>-127059.44848670959</v>
      </c>
      <c r="M275" s="11">
        <f t="shared" si="44"/>
        <v>-154781.40005756469</v>
      </c>
      <c r="N275" s="11">
        <f t="shared" si="44"/>
        <v>-157653.63819211785</v>
      </c>
      <c r="O275" s="11">
        <f t="shared" si="44"/>
        <v>-150860.09734916821</v>
      </c>
      <c r="P275" s="11">
        <f t="shared" si="44"/>
        <v>-149558.45750740374</v>
      </c>
      <c r="Q275" s="11">
        <f t="shared" si="44"/>
        <v>-114544.55669808039</v>
      </c>
      <c r="R275" s="11">
        <f t="shared" si="44"/>
        <v>-114398.35726922155</v>
      </c>
      <c r="S275" s="11">
        <f t="shared" si="44"/>
        <v>-126659.91269018278</v>
      </c>
      <c r="T275" s="11">
        <f t="shared" si="44"/>
        <v>-126302.20990981381</v>
      </c>
      <c r="U275" s="11">
        <f t="shared" si="44"/>
        <v>-149733.84146063626</v>
      </c>
    </row>
    <row r="276" spans="1:21">
      <c r="B276" s="11"/>
      <c r="C276" s="11"/>
      <c r="D276" s="11"/>
      <c r="E276" s="11"/>
      <c r="F276" s="11"/>
      <c r="G276" s="11"/>
      <c r="H276" s="11"/>
      <c r="I276" s="11"/>
      <c r="J276" s="11"/>
      <c r="K276" s="11"/>
      <c r="L276" s="11"/>
      <c r="M276" s="11"/>
      <c r="N276" s="11"/>
      <c r="O276" s="11"/>
      <c r="P276" s="11"/>
      <c r="Q276" s="11"/>
      <c r="R276" s="11"/>
      <c r="S276" s="11"/>
      <c r="T276" s="11"/>
      <c r="U276" s="11"/>
    </row>
    <row r="277" spans="1:21">
      <c r="A277" t="s">
        <v>282</v>
      </c>
      <c r="B277" s="11">
        <f t="shared" ref="B277:O277" si="45">SUM(B256:B275)+B234</f>
        <v>-2850575.9565280741</v>
      </c>
      <c r="C277" s="11">
        <f t="shared" si="45"/>
        <v>-2878798.6051083081</v>
      </c>
      <c r="D277" s="11">
        <f t="shared" si="45"/>
        <v>-2819669.9629717744</v>
      </c>
      <c r="E277" s="11">
        <f t="shared" si="45"/>
        <v>-2984906.6405526679</v>
      </c>
      <c r="F277" s="11">
        <f t="shared" si="45"/>
        <v>-2949364.0540147573</v>
      </c>
      <c r="G277" s="11">
        <f t="shared" si="45"/>
        <v>-2487854.92340062</v>
      </c>
      <c r="H277" s="11">
        <f t="shared" si="45"/>
        <v>-3302115.9296880253</v>
      </c>
      <c r="I277" s="11">
        <f t="shared" si="45"/>
        <v>-3318775.0734291668</v>
      </c>
      <c r="J277" s="11">
        <f t="shared" si="45"/>
        <v>-3599401.3031545053</v>
      </c>
      <c r="K277" s="11">
        <f t="shared" si="45"/>
        <v>-3591789.0692282608</v>
      </c>
      <c r="L277" s="11">
        <f t="shared" si="45"/>
        <v>-3420818.9485618696</v>
      </c>
      <c r="M277" s="11">
        <f t="shared" si="45"/>
        <v>-4167176.4871326042</v>
      </c>
      <c r="N277" s="11">
        <f t="shared" si="45"/>
        <v>-4244505.6960382238</v>
      </c>
      <c r="O277" s="11">
        <f t="shared" si="45"/>
        <v>-4061603.334032285</v>
      </c>
      <c r="P277" s="11">
        <f t="shared" ref="P277:U277" si="46">SUM(P256:P275)+P234</f>
        <v>-4067717.5710340519</v>
      </c>
      <c r="Q277" s="11">
        <f t="shared" si="46"/>
        <v>-3125039.0313571878</v>
      </c>
      <c r="R277" s="11">
        <f t="shared" si="46"/>
        <v>-3121102.9071061728</v>
      </c>
      <c r="S277" s="11">
        <f t="shared" si="46"/>
        <v>-3451220.514434312</v>
      </c>
      <c r="T277" s="11">
        <f t="shared" si="46"/>
        <v>-3441590.0897503309</v>
      </c>
      <c r="U277" s="11">
        <f t="shared" si="46"/>
        <v>-4072439.4296414764</v>
      </c>
    </row>
    <row r="279" spans="1:21">
      <c r="A279" t="s">
        <v>101</v>
      </c>
    </row>
    <row r="280" spans="1:21">
      <c r="A280" t="s">
        <v>100</v>
      </c>
    </row>
    <row r="281" spans="1:21">
      <c r="A281">
        <v>1</v>
      </c>
      <c r="B281" s="11">
        <f t="shared" ref="B281:P281" si="47">-$B$177*B242</f>
        <v>-792542.60400000005</v>
      </c>
      <c r="C281" s="11">
        <f t="shared" si="47"/>
        <v>-792542.60400000005</v>
      </c>
      <c r="D281" s="11">
        <f t="shared" si="47"/>
        <v>-792542.60400000005</v>
      </c>
      <c r="E281" s="11">
        <f t="shared" si="47"/>
        <v>-751754.58400000003</v>
      </c>
      <c r="F281" s="11">
        <f t="shared" si="47"/>
        <v>-751127.07600000012</v>
      </c>
      <c r="G281" s="11">
        <f t="shared" si="47"/>
        <v>-663275.95600000001</v>
      </c>
      <c r="H281" s="11">
        <f t="shared" si="47"/>
        <v>-707201.51600000018</v>
      </c>
      <c r="I281" s="11">
        <f t="shared" si="47"/>
        <v>-707201.51600000018</v>
      </c>
      <c r="J281" s="11">
        <f t="shared" si="47"/>
        <v>-673316.08400000003</v>
      </c>
      <c r="K281" s="11">
        <f t="shared" si="47"/>
        <v>-672688.57600000012</v>
      </c>
      <c r="L281" s="11">
        <f t="shared" si="47"/>
        <v>-554089.56400000013</v>
      </c>
      <c r="M281" s="11">
        <f t="shared" si="47"/>
        <v>-633155.57200000004</v>
      </c>
      <c r="N281" s="11">
        <f t="shared" si="47"/>
        <v>-633155.57200000004</v>
      </c>
      <c r="O281" s="11">
        <f t="shared" si="47"/>
        <v>-524596.68799999997</v>
      </c>
      <c r="P281" s="11">
        <f t="shared" si="47"/>
        <v>-423567.9</v>
      </c>
      <c r="Q281" s="11">
        <f>-$B$177*Q242</f>
        <v>-224647.864</v>
      </c>
      <c r="R281" s="11">
        <f>-$B$177*R242</f>
        <v>-225902.88000000003</v>
      </c>
      <c r="S281" s="11">
        <f>-$B$177*S242</f>
        <v>-216490.26000000004</v>
      </c>
      <c r="T281" s="11">
        <f>-$B$177*T242</f>
        <v>-221510.32400000002</v>
      </c>
      <c r="U281" s="11">
        <f>-$B$177*U242</f>
        <v>-200175.05200000003</v>
      </c>
    </row>
    <row r="282" spans="1:21">
      <c r="A282">
        <v>2</v>
      </c>
      <c r="B282" s="11">
        <f t="shared" ref="B282:I291" si="48">B$281/((1+$B$173)^$A282)</f>
        <v>-747047.41634461319</v>
      </c>
      <c r="C282" s="11">
        <f t="shared" si="48"/>
        <v>-747047.41634461319</v>
      </c>
      <c r="D282" s="11">
        <f t="shared" si="48"/>
        <v>-747047.41634461319</v>
      </c>
      <c r="E282" s="11">
        <f t="shared" si="48"/>
        <v>-708600.79555094743</v>
      </c>
      <c r="F282" s="11">
        <f t="shared" si="48"/>
        <v>-708009.30907719873</v>
      </c>
      <c r="G282" s="11">
        <f t="shared" si="48"/>
        <v>-625201.20275238005</v>
      </c>
      <c r="H282" s="11">
        <f t="shared" si="48"/>
        <v>-666605.25591478951</v>
      </c>
      <c r="I282" s="11">
        <f t="shared" si="48"/>
        <v>-666605.25591478951</v>
      </c>
      <c r="J282" s="11">
        <f t="shared" ref="J282:U291" si="49">J$281/((1+$B$173)^$A282)</f>
        <v>-634664.98633235937</v>
      </c>
      <c r="K282" s="11">
        <f t="shared" si="49"/>
        <v>-634073.4998586108</v>
      </c>
      <c r="L282" s="11">
        <f t="shared" si="49"/>
        <v>-522282.55632010574</v>
      </c>
      <c r="M282" s="11">
        <f t="shared" si="49"/>
        <v>-596809.85201244231</v>
      </c>
      <c r="N282" s="11">
        <f t="shared" si="49"/>
        <v>-596809.85201244231</v>
      </c>
      <c r="O282" s="11">
        <f t="shared" si="49"/>
        <v>-494482.69205391646</v>
      </c>
      <c r="P282" s="11">
        <f t="shared" si="49"/>
        <v>-399253.36978037521</v>
      </c>
      <c r="Q282" s="11">
        <f t="shared" si="49"/>
        <v>-211752.15760203602</v>
      </c>
      <c r="R282" s="11">
        <f t="shared" si="49"/>
        <v>-212935.13054953347</v>
      </c>
      <c r="S282" s="11">
        <f t="shared" si="49"/>
        <v>-204062.83344330289</v>
      </c>
      <c r="T282" s="11">
        <f t="shared" si="49"/>
        <v>-208794.72523329253</v>
      </c>
      <c r="U282" s="11">
        <f t="shared" si="49"/>
        <v>-188684.18512583658</v>
      </c>
    </row>
    <row r="283" spans="1:21">
      <c r="A283">
        <v>3</v>
      </c>
      <c r="B283" s="11">
        <f t="shared" si="48"/>
        <v>-725288.75373263413</v>
      </c>
      <c r="C283" s="11">
        <f t="shared" si="48"/>
        <v>-725288.75373263413</v>
      </c>
      <c r="D283" s="11">
        <f t="shared" si="48"/>
        <v>-725288.75373263413</v>
      </c>
      <c r="E283" s="11">
        <f t="shared" si="48"/>
        <v>-687961.93742810423</v>
      </c>
      <c r="F283" s="11">
        <f t="shared" si="48"/>
        <v>-687387.67871572694</v>
      </c>
      <c r="G283" s="11">
        <f t="shared" si="48"/>
        <v>-606991.45898289327</v>
      </c>
      <c r="H283" s="11">
        <f t="shared" si="48"/>
        <v>-647189.56884931016</v>
      </c>
      <c r="I283" s="11">
        <f t="shared" si="48"/>
        <v>-647189.56884931016</v>
      </c>
      <c r="J283" s="11">
        <f t="shared" si="49"/>
        <v>-616179.59838093142</v>
      </c>
      <c r="K283" s="11">
        <f t="shared" si="49"/>
        <v>-615605.33966855414</v>
      </c>
      <c r="L283" s="11">
        <f t="shared" si="49"/>
        <v>-507070.44302922883</v>
      </c>
      <c r="M283" s="11">
        <f t="shared" si="49"/>
        <v>-579427.04078877892</v>
      </c>
      <c r="N283" s="11">
        <f t="shared" si="49"/>
        <v>-579427.04078877892</v>
      </c>
      <c r="O283" s="11">
        <f t="shared" si="49"/>
        <v>-480080.28354749171</v>
      </c>
      <c r="P283" s="11">
        <f t="shared" si="49"/>
        <v>-387624.63085473317</v>
      </c>
      <c r="Q283" s="11">
        <f t="shared" si="49"/>
        <v>-205584.61903110292</v>
      </c>
      <c r="R283" s="11">
        <f t="shared" si="49"/>
        <v>-206733.13645585772</v>
      </c>
      <c r="S283" s="11">
        <f t="shared" si="49"/>
        <v>-198119.25577019699</v>
      </c>
      <c r="T283" s="11">
        <f t="shared" si="49"/>
        <v>-202713.32546921604</v>
      </c>
      <c r="U283" s="11">
        <f t="shared" si="49"/>
        <v>-183188.52924838502</v>
      </c>
    </row>
    <row r="284" spans="1:21">
      <c r="A284">
        <v>4</v>
      </c>
      <c r="B284" s="11">
        <f t="shared" si="48"/>
        <v>-704163.83857537294</v>
      </c>
      <c r="C284" s="11">
        <f t="shared" si="48"/>
        <v>-704163.83857537294</v>
      </c>
      <c r="D284" s="11">
        <f t="shared" si="48"/>
        <v>-704163.83857537294</v>
      </c>
      <c r="E284" s="11">
        <f t="shared" si="48"/>
        <v>-667924.21109524684</v>
      </c>
      <c r="F284" s="11">
        <f t="shared" si="48"/>
        <v>-667366.67836478341</v>
      </c>
      <c r="G284" s="11">
        <f t="shared" si="48"/>
        <v>-589312.09609989647</v>
      </c>
      <c r="H284" s="11">
        <f t="shared" si="48"/>
        <v>-628339.38723234006</v>
      </c>
      <c r="I284" s="11">
        <f t="shared" si="48"/>
        <v>-628339.38723234006</v>
      </c>
      <c r="J284" s="11">
        <f t="shared" si="49"/>
        <v>-598232.61978731211</v>
      </c>
      <c r="K284" s="11">
        <f t="shared" si="49"/>
        <v>-597675.08705684869</v>
      </c>
      <c r="L284" s="11">
        <f t="shared" si="49"/>
        <v>-492301.40099925135</v>
      </c>
      <c r="M284" s="11">
        <f t="shared" si="49"/>
        <v>-562550.52503764955</v>
      </c>
      <c r="N284" s="11">
        <f t="shared" si="49"/>
        <v>-562550.52503764955</v>
      </c>
      <c r="O284" s="11">
        <f t="shared" si="49"/>
        <v>-466097.36266746774</v>
      </c>
      <c r="P284" s="11">
        <f t="shared" si="49"/>
        <v>-376334.59306284779</v>
      </c>
      <c r="Q284" s="11">
        <f t="shared" si="49"/>
        <v>-199596.71750592519</v>
      </c>
      <c r="R284" s="11">
        <f t="shared" si="49"/>
        <v>-200711.78296685216</v>
      </c>
      <c r="S284" s="11">
        <f t="shared" si="49"/>
        <v>-192348.7920099</v>
      </c>
      <c r="T284" s="11">
        <f t="shared" si="49"/>
        <v>-196809.05385360779</v>
      </c>
      <c r="U284" s="11">
        <f t="shared" si="49"/>
        <v>-177852.94101784955</v>
      </c>
    </row>
    <row r="285" spans="1:21">
      <c r="A285">
        <v>5</v>
      </c>
      <c r="B285" s="11">
        <f t="shared" si="48"/>
        <v>-683654.21220910002</v>
      </c>
      <c r="C285" s="11">
        <f t="shared" si="48"/>
        <v>-683654.21220910002</v>
      </c>
      <c r="D285" s="11">
        <f t="shared" si="48"/>
        <v>-683654.21220910002</v>
      </c>
      <c r="E285" s="11">
        <f t="shared" si="48"/>
        <v>-648470.10785946297</v>
      </c>
      <c r="F285" s="11">
        <f t="shared" si="48"/>
        <v>-647928.81394639169</v>
      </c>
      <c r="G285" s="11">
        <f t="shared" si="48"/>
        <v>-572147.66611640435</v>
      </c>
      <c r="H285" s="11">
        <f t="shared" si="48"/>
        <v>-610038.24003139813</v>
      </c>
      <c r="I285" s="11">
        <f t="shared" si="48"/>
        <v>-610038.24003139813</v>
      </c>
      <c r="J285" s="11">
        <f t="shared" si="49"/>
        <v>-580808.3687255457</v>
      </c>
      <c r="K285" s="11">
        <f t="shared" si="49"/>
        <v>-580267.07481247454</v>
      </c>
      <c r="L285" s="11">
        <f t="shared" si="49"/>
        <v>-477962.52524199162</v>
      </c>
      <c r="M285" s="11">
        <f t="shared" si="49"/>
        <v>-546165.55828898016</v>
      </c>
      <c r="N285" s="11">
        <f t="shared" si="49"/>
        <v>-546165.55828898016</v>
      </c>
      <c r="O285" s="11">
        <f t="shared" si="49"/>
        <v>-452521.71132763859</v>
      </c>
      <c r="P285" s="11">
        <f t="shared" si="49"/>
        <v>-365373.39132315322</v>
      </c>
      <c r="Q285" s="11">
        <f t="shared" si="49"/>
        <v>-193783.22087953903</v>
      </c>
      <c r="R285" s="11">
        <f t="shared" si="49"/>
        <v>-194865.80870568173</v>
      </c>
      <c r="S285" s="11">
        <f t="shared" si="49"/>
        <v>-186746.40000961165</v>
      </c>
      <c r="T285" s="11">
        <f t="shared" si="49"/>
        <v>-191076.75131418236</v>
      </c>
      <c r="U285" s="11">
        <f t="shared" si="49"/>
        <v>-172672.75826975686</v>
      </c>
    </row>
    <row r="286" spans="1:21">
      <c r="A286">
        <v>6</v>
      </c>
      <c r="B286" s="11">
        <f t="shared" si="48"/>
        <v>-663741.95360106789</v>
      </c>
      <c r="C286" s="11">
        <f t="shared" si="48"/>
        <v>-663741.95360106789</v>
      </c>
      <c r="D286" s="11">
        <f t="shared" si="48"/>
        <v>-663741.95360106789</v>
      </c>
      <c r="E286" s="11">
        <f t="shared" si="48"/>
        <v>-629582.62898976984</v>
      </c>
      <c r="F286" s="11">
        <f t="shared" si="48"/>
        <v>-629057.10091882688</v>
      </c>
      <c r="G286" s="11">
        <f t="shared" si="48"/>
        <v>-555483.17098680022</v>
      </c>
      <c r="H286" s="11">
        <f t="shared" si="48"/>
        <v>-592270.13595281367</v>
      </c>
      <c r="I286" s="11">
        <f t="shared" si="48"/>
        <v>-592270.13595281367</v>
      </c>
      <c r="J286" s="11">
        <f t="shared" si="49"/>
        <v>-563891.62012188905</v>
      </c>
      <c r="K286" s="11">
        <f t="shared" si="49"/>
        <v>-563366.09205094608</v>
      </c>
      <c r="L286" s="11">
        <f t="shared" si="49"/>
        <v>-464041.28664271027</v>
      </c>
      <c r="M286" s="11">
        <f t="shared" si="49"/>
        <v>-530257.82358153409</v>
      </c>
      <c r="N286" s="11">
        <f t="shared" si="49"/>
        <v>-530257.82358153409</v>
      </c>
      <c r="O286" s="11">
        <f t="shared" si="49"/>
        <v>-439341.46730838693</v>
      </c>
      <c r="P286" s="11">
        <f t="shared" si="49"/>
        <v>-354731.4478865565</v>
      </c>
      <c r="Q286" s="11">
        <f t="shared" si="49"/>
        <v>-188139.04939761068</v>
      </c>
      <c r="R286" s="11">
        <f t="shared" si="49"/>
        <v>-189190.10553949681</v>
      </c>
      <c r="S286" s="11">
        <f t="shared" si="49"/>
        <v>-181307.18447535113</v>
      </c>
      <c r="T286" s="11">
        <f t="shared" si="49"/>
        <v>-185511.40904289548</v>
      </c>
      <c r="U286" s="11">
        <f t="shared" si="49"/>
        <v>-167643.4546308319</v>
      </c>
    </row>
    <row r="287" spans="1:21">
      <c r="A287">
        <v>7</v>
      </c>
      <c r="B287" s="11">
        <f t="shared" si="48"/>
        <v>-644409.66369035712</v>
      </c>
      <c r="C287" s="11">
        <f t="shared" si="48"/>
        <v>-644409.66369035712</v>
      </c>
      <c r="D287" s="11">
        <f t="shared" si="48"/>
        <v>-644409.66369035712</v>
      </c>
      <c r="E287" s="11">
        <f t="shared" si="48"/>
        <v>-611245.27086385421</v>
      </c>
      <c r="F287" s="11">
        <f t="shared" si="48"/>
        <v>-610735.04943575419</v>
      </c>
      <c r="G287" s="11">
        <f t="shared" si="48"/>
        <v>-539304.04950174782</v>
      </c>
      <c r="H287" s="11">
        <f t="shared" si="48"/>
        <v>-575019.54946875107</v>
      </c>
      <c r="I287" s="11">
        <f t="shared" si="48"/>
        <v>-575019.54946875107</v>
      </c>
      <c r="J287" s="11">
        <f t="shared" si="49"/>
        <v>-547467.59235134861</v>
      </c>
      <c r="K287" s="11">
        <f t="shared" si="49"/>
        <v>-546957.37092324859</v>
      </c>
      <c r="L287" s="11">
        <f t="shared" si="49"/>
        <v>-450525.52101234003</v>
      </c>
      <c r="M287" s="11">
        <f t="shared" si="49"/>
        <v>-514813.42095294566</v>
      </c>
      <c r="N287" s="11">
        <f t="shared" si="49"/>
        <v>-514813.42095294566</v>
      </c>
      <c r="O287" s="11">
        <f t="shared" si="49"/>
        <v>-426545.11389163777</v>
      </c>
      <c r="P287" s="11">
        <f t="shared" si="49"/>
        <v>-344399.46396753052</v>
      </c>
      <c r="Q287" s="11">
        <f t="shared" si="49"/>
        <v>-182659.27125981619</v>
      </c>
      <c r="R287" s="11">
        <f t="shared" si="49"/>
        <v>-183679.71411601632</v>
      </c>
      <c r="S287" s="11">
        <f t="shared" si="49"/>
        <v>-176026.39269451564</v>
      </c>
      <c r="T287" s="11">
        <f t="shared" si="49"/>
        <v>-180108.16411931597</v>
      </c>
      <c r="U287" s="11">
        <f t="shared" si="49"/>
        <v>-162760.63556391446</v>
      </c>
    </row>
    <row r="288" spans="1:21">
      <c r="A288">
        <v>8</v>
      </c>
      <c r="B288" s="11">
        <f t="shared" si="48"/>
        <v>-625640.45018481289</v>
      </c>
      <c r="C288" s="11">
        <f t="shared" si="48"/>
        <v>-625640.45018481289</v>
      </c>
      <c r="D288" s="11">
        <f t="shared" si="48"/>
        <v>-625640.45018481289</v>
      </c>
      <c r="E288" s="11">
        <f t="shared" si="48"/>
        <v>-593442.0105474313</v>
      </c>
      <c r="F288" s="11">
        <f t="shared" si="48"/>
        <v>-592946.64993762551</v>
      </c>
      <c r="G288" s="11">
        <f t="shared" si="48"/>
        <v>-523596.16456480377</v>
      </c>
      <c r="H288" s="11">
        <f t="shared" si="48"/>
        <v>-558271.40725121472</v>
      </c>
      <c r="I288" s="11">
        <f t="shared" si="48"/>
        <v>-558271.40725121472</v>
      </c>
      <c r="J288" s="11">
        <f t="shared" si="49"/>
        <v>-531521.93432169768</v>
      </c>
      <c r="K288" s="11">
        <f t="shared" si="49"/>
        <v>-531026.57371189189</v>
      </c>
      <c r="L288" s="11">
        <f t="shared" si="49"/>
        <v>-437403.4184585826</v>
      </c>
      <c r="M288" s="11">
        <f t="shared" si="49"/>
        <v>-499818.85529412207</v>
      </c>
      <c r="N288" s="11">
        <f t="shared" si="49"/>
        <v>-499818.85529412207</v>
      </c>
      <c r="O288" s="11">
        <f t="shared" si="49"/>
        <v>-414121.46979770664</v>
      </c>
      <c r="P288" s="11">
        <f t="shared" si="49"/>
        <v>-334368.41161896172</v>
      </c>
      <c r="Q288" s="11">
        <f t="shared" si="49"/>
        <v>-177339.09831050117</v>
      </c>
      <c r="R288" s="11">
        <f t="shared" si="49"/>
        <v>-178329.81953011293</v>
      </c>
      <c r="S288" s="11">
        <f t="shared" si="49"/>
        <v>-170899.41038302492</v>
      </c>
      <c r="T288" s="11">
        <f t="shared" si="49"/>
        <v>-174862.29526147185</v>
      </c>
      <c r="U288" s="11">
        <f t="shared" si="49"/>
        <v>-158020.03452807231</v>
      </c>
    </row>
    <row r="289" spans="1:21">
      <c r="A289">
        <v>9</v>
      </c>
      <c r="B289" s="11">
        <f t="shared" si="48"/>
        <v>-607417.91280078911</v>
      </c>
      <c r="C289" s="11">
        <f t="shared" si="48"/>
        <v>-607417.91280078911</v>
      </c>
      <c r="D289" s="11">
        <f t="shared" si="48"/>
        <v>-607417.91280078911</v>
      </c>
      <c r="E289" s="11">
        <f t="shared" si="48"/>
        <v>-576157.29179362266</v>
      </c>
      <c r="F289" s="11">
        <f t="shared" si="48"/>
        <v>-575676.3591627432</v>
      </c>
      <c r="G289" s="11">
        <f t="shared" si="48"/>
        <v>-508345.79083961528</v>
      </c>
      <c r="H289" s="11">
        <f t="shared" si="48"/>
        <v>-542011.07500117936</v>
      </c>
      <c r="I289" s="11">
        <f t="shared" si="48"/>
        <v>-542011.07500117936</v>
      </c>
      <c r="J289" s="11">
        <f t="shared" si="49"/>
        <v>-516040.71293368709</v>
      </c>
      <c r="K289" s="11">
        <f t="shared" si="49"/>
        <v>-515559.78030280763</v>
      </c>
      <c r="L289" s="11">
        <f t="shared" si="49"/>
        <v>-424663.51306658506</v>
      </c>
      <c r="M289" s="11">
        <f t="shared" si="49"/>
        <v>-485261.02455740003</v>
      </c>
      <c r="N289" s="11">
        <f t="shared" si="49"/>
        <v>-485261.02455740003</v>
      </c>
      <c r="O289" s="11">
        <f t="shared" si="49"/>
        <v>-402059.67941524915</v>
      </c>
      <c r="P289" s="11">
        <f t="shared" si="49"/>
        <v>-324629.52584365214</v>
      </c>
      <c r="Q289" s="11">
        <f t="shared" si="49"/>
        <v>-172173.88185485551</v>
      </c>
      <c r="R289" s="11">
        <f t="shared" si="49"/>
        <v>-173135.74711661451</v>
      </c>
      <c r="S289" s="11">
        <f t="shared" si="49"/>
        <v>-165921.75765342225</v>
      </c>
      <c r="T289" s="11">
        <f t="shared" si="49"/>
        <v>-169769.21870045809</v>
      </c>
      <c r="U289" s="11">
        <f t="shared" si="49"/>
        <v>-153417.50925055562</v>
      </c>
    </row>
    <row r="290" spans="1:21">
      <c r="A290">
        <v>10</v>
      </c>
      <c r="B290" s="11">
        <f t="shared" si="48"/>
        <v>-589726.12893280503</v>
      </c>
      <c r="C290" s="11">
        <f t="shared" si="48"/>
        <v>-589726.12893280503</v>
      </c>
      <c r="D290" s="11">
        <f t="shared" si="48"/>
        <v>-589726.12893280503</v>
      </c>
      <c r="E290" s="11">
        <f t="shared" si="48"/>
        <v>-559376.01145011908</v>
      </c>
      <c r="F290" s="11">
        <f t="shared" si="48"/>
        <v>-558909.08656577009</v>
      </c>
      <c r="G290" s="11">
        <f t="shared" si="48"/>
        <v>-493539.60275690805</v>
      </c>
      <c r="H290" s="11">
        <f t="shared" si="48"/>
        <v>-526224.34466133919</v>
      </c>
      <c r="I290" s="11">
        <f t="shared" si="48"/>
        <v>-526224.34466133919</v>
      </c>
      <c r="J290" s="11">
        <f t="shared" si="49"/>
        <v>-501010.40090649232</v>
      </c>
      <c r="K290" s="11">
        <f t="shared" si="49"/>
        <v>-500543.47602214332</v>
      </c>
      <c r="L290" s="11">
        <f t="shared" si="49"/>
        <v>-412294.67288017966</v>
      </c>
      <c r="M290" s="11">
        <f t="shared" si="49"/>
        <v>-471127.20830815542</v>
      </c>
      <c r="N290" s="11">
        <f t="shared" si="49"/>
        <v>-471127.20830815542</v>
      </c>
      <c r="O290" s="11">
        <f t="shared" si="49"/>
        <v>-390349.2033157759</v>
      </c>
      <c r="P290" s="11">
        <f t="shared" si="49"/>
        <v>-315174.29693558463</v>
      </c>
      <c r="Q290" s="11">
        <f t="shared" si="49"/>
        <v>-167159.1085969471</v>
      </c>
      <c r="R290" s="11">
        <f t="shared" si="49"/>
        <v>-168092.95836564514</v>
      </c>
      <c r="S290" s="11">
        <f t="shared" si="49"/>
        <v>-161089.08510040992</v>
      </c>
      <c r="T290" s="11">
        <f t="shared" si="49"/>
        <v>-164824.48417520203</v>
      </c>
      <c r="U290" s="11">
        <f t="shared" si="49"/>
        <v>-148949.03810733557</v>
      </c>
    </row>
    <row r="291" spans="1:21">
      <c r="A291">
        <v>11</v>
      </c>
      <c r="B291" s="11">
        <f t="shared" si="48"/>
        <v>-572549.63974058733</v>
      </c>
      <c r="C291" s="11">
        <f t="shared" si="48"/>
        <v>-572549.63974058733</v>
      </c>
      <c r="D291" s="11">
        <f t="shared" si="48"/>
        <v>-572549.63974058733</v>
      </c>
      <c r="E291" s="11">
        <f t="shared" si="48"/>
        <v>-543083.50626225153</v>
      </c>
      <c r="F291" s="11">
        <f t="shared" si="48"/>
        <v>-542630.18113181565</v>
      </c>
      <c r="G291" s="11">
        <f t="shared" si="48"/>
        <v>-479164.66287078452</v>
      </c>
      <c r="H291" s="11">
        <f t="shared" si="48"/>
        <v>-510897.42200130015</v>
      </c>
      <c r="I291" s="11">
        <f t="shared" si="48"/>
        <v>-510897.42200130015</v>
      </c>
      <c r="J291" s="11">
        <f t="shared" si="49"/>
        <v>-486417.86495775951</v>
      </c>
      <c r="K291" s="11">
        <f t="shared" si="49"/>
        <v>-485964.53982732364</v>
      </c>
      <c r="L291" s="11">
        <f t="shared" si="49"/>
        <v>-400286.09017493168</v>
      </c>
      <c r="M291" s="11">
        <f t="shared" si="49"/>
        <v>-457405.05660985957</v>
      </c>
      <c r="N291" s="11">
        <f t="shared" si="49"/>
        <v>-457405.05660985957</v>
      </c>
      <c r="O291" s="11">
        <f t="shared" si="49"/>
        <v>-378979.80904444261</v>
      </c>
      <c r="P291" s="11">
        <f t="shared" si="49"/>
        <v>-305994.4630442569</v>
      </c>
      <c r="Q291" s="11">
        <f t="shared" si="49"/>
        <v>-162290.39669606515</v>
      </c>
      <c r="R291" s="11">
        <f t="shared" si="49"/>
        <v>-163197.04695693703</v>
      </c>
      <c r="S291" s="11">
        <f t="shared" si="49"/>
        <v>-156397.17000039798</v>
      </c>
      <c r="T291" s="11">
        <f t="shared" si="49"/>
        <v>-160023.77104388547</v>
      </c>
      <c r="U291" s="11">
        <f t="shared" si="49"/>
        <v>-144610.71660906365</v>
      </c>
    </row>
    <row r="292" spans="1:21">
      <c r="A292">
        <v>12</v>
      </c>
      <c r="B292" s="11">
        <f t="shared" ref="B292:I300" si="50">B$281/((1+$B$173)^$A292)</f>
        <v>-555873.43664134701</v>
      </c>
      <c r="C292" s="11">
        <f t="shared" si="50"/>
        <v>-555873.43664134701</v>
      </c>
      <c r="D292" s="11">
        <f t="shared" si="50"/>
        <v>-555873.43664134701</v>
      </c>
      <c r="E292" s="11">
        <f t="shared" si="50"/>
        <v>-527265.54006043845</v>
      </c>
      <c r="F292" s="11">
        <f t="shared" si="50"/>
        <v>-526825.41857457836</v>
      </c>
      <c r="G292" s="11">
        <f t="shared" si="50"/>
        <v>-465208.41055415978</v>
      </c>
      <c r="H292" s="11">
        <f t="shared" si="50"/>
        <v>-496016.91456436913</v>
      </c>
      <c r="I292" s="11">
        <f t="shared" si="50"/>
        <v>-496016.91456436913</v>
      </c>
      <c r="J292" s="11">
        <f t="shared" ref="J292:U300" si="51">J$281/((1+$B$173)^$A292)</f>
        <v>-472250.35432792193</v>
      </c>
      <c r="K292" s="11">
        <f t="shared" si="51"/>
        <v>-471810.23284206184</v>
      </c>
      <c r="L292" s="11">
        <f t="shared" si="51"/>
        <v>-388627.27201449685</v>
      </c>
      <c r="M292" s="11">
        <f t="shared" si="51"/>
        <v>-444082.57923287345</v>
      </c>
      <c r="N292" s="11">
        <f t="shared" si="51"/>
        <v>-444082.57923287345</v>
      </c>
      <c r="O292" s="11">
        <f t="shared" si="51"/>
        <v>-367941.56217907055</v>
      </c>
      <c r="P292" s="11">
        <f t="shared" si="51"/>
        <v>-297082.00295558927</v>
      </c>
      <c r="Q292" s="11">
        <f t="shared" si="51"/>
        <v>-157563.49193792735</v>
      </c>
      <c r="R292" s="11">
        <f t="shared" si="51"/>
        <v>-158443.73490964764</v>
      </c>
      <c r="S292" s="11">
        <f t="shared" si="51"/>
        <v>-151841.91262174564</v>
      </c>
      <c r="T292" s="11">
        <f t="shared" si="51"/>
        <v>-155362.88450862668</v>
      </c>
      <c r="U292" s="11">
        <f t="shared" si="51"/>
        <v>-140398.75398938221</v>
      </c>
    </row>
    <row r="293" spans="1:21">
      <c r="A293">
        <v>13</v>
      </c>
      <c r="B293" s="11">
        <f t="shared" si="50"/>
        <v>-539682.9481954826</v>
      </c>
      <c r="C293" s="11">
        <f t="shared" si="50"/>
        <v>-539682.9481954826</v>
      </c>
      <c r="D293" s="11">
        <f t="shared" si="50"/>
        <v>-539682.9481954826</v>
      </c>
      <c r="E293" s="11">
        <f t="shared" si="50"/>
        <v>-511908.29132081405</v>
      </c>
      <c r="F293" s="11">
        <f t="shared" si="50"/>
        <v>-511480.98890735768</v>
      </c>
      <c r="G293" s="11">
        <f t="shared" si="50"/>
        <v>-451658.65102345613</v>
      </c>
      <c r="H293" s="11">
        <f t="shared" si="50"/>
        <v>-481569.81996540696</v>
      </c>
      <c r="I293" s="11">
        <f t="shared" si="50"/>
        <v>-481569.81996540696</v>
      </c>
      <c r="J293" s="11">
        <f t="shared" si="51"/>
        <v>-458495.48963875917</v>
      </c>
      <c r="K293" s="11">
        <f t="shared" si="51"/>
        <v>-458068.1872253028</v>
      </c>
      <c r="L293" s="11">
        <f t="shared" si="51"/>
        <v>-377308.0310820358</v>
      </c>
      <c r="M293" s="11">
        <f t="shared" si="51"/>
        <v>-431148.13517754705</v>
      </c>
      <c r="N293" s="11">
        <f t="shared" si="51"/>
        <v>-431148.13517754705</v>
      </c>
      <c r="O293" s="11">
        <f t="shared" si="51"/>
        <v>-357224.81764958304</v>
      </c>
      <c r="P293" s="11">
        <f t="shared" si="51"/>
        <v>-288429.1290830964</v>
      </c>
      <c r="Q293" s="11">
        <f t="shared" si="51"/>
        <v>-152974.26401740519</v>
      </c>
      <c r="R293" s="11">
        <f t="shared" si="51"/>
        <v>-153828.86884431809</v>
      </c>
      <c r="S293" s="11">
        <f t="shared" si="51"/>
        <v>-147419.33264247151</v>
      </c>
      <c r="T293" s="11">
        <f t="shared" si="51"/>
        <v>-150837.751950123</v>
      </c>
      <c r="U293" s="11">
        <f t="shared" si="51"/>
        <v>-136309.46989260407</v>
      </c>
    </row>
    <row r="294" spans="1:21">
      <c r="A294">
        <v>14</v>
      </c>
      <c r="B294" s="11">
        <f t="shared" si="50"/>
        <v>-523964.02737425489</v>
      </c>
      <c r="C294" s="11">
        <f t="shared" si="50"/>
        <v>-523964.02737425489</v>
      </c>
      <c r="D294" s="11">
        <f t="shared" si="50"/>
        <v>-523964.02737425489</v>
      </c>
      <c r="E294" s="11">
        <f t="shared" si="50"/>
        <v>-496998.34108816891</v>
      </c>
      <c r="F294" s="11">
        <f t="shared" si="50"/>
        <v>-496583.48437607533</v>
      </c>
      <c r="G294" s="11">
        <f t="shared" si="50"/>
        <v>-438503.54468296707</v>
      </c>
      <c r="H294" s="11">
        <f t="shared" si="50"/>
        <v>-467543.51452952129</v>
      </c>
      <c r="I294" s="11">
        <f t="shared" si="50"/>
        <v>-467543.51452952129</v>
      </c>
      <c r="J294" s="11">
        <f t="shared" si="51"/>
        <v>-445141.25207646517</v>
      </c>
      <c r="K294" s="11">
        <f t="shared" si="51"/>
        <v>-444726.39536437159</v>
      </c>
      <c r="L294" s="11">
        <f t="shared" si="51"/>
        <v>-366318.47677867551</v>
      </c>
      <c r="M294" s="11">
        <f t="shared" si="51"/>
        <v>-418590.42250247282</v>
      </c>
      <c r="N294" s="11">
        <f t="shared" si="51"/>
        <v>-418590.42250247282</v>
      </c>
      <c r="O294" s="11">
        <f t="shared" si="51"/>
        <v>-346820.21131027478</v>
      </c>
      <c r="P294" s="11">
        <f t="shared" si="51"/>
        <v>-280028.28066320036</v>
      </c>
      <c r="Q294" s="11">
        <f t="shared" si="51"/>
        <v>-148518.70292951958</v>
      </c>
      <c r="R294" s="11">
        <f t="shared" si="51"/>
        <v>-149348.41635370688</v>
      </c>
      <c r="S294" s="11">
        <f t="shared" si="51"/>
        <v>-143125.56567230241</v>
      </c>
      <c r="T294" s="11">
        <f t="shared" si="51"/>
        <v>-146444.41936905144</v>
      </c>
      <c r="U294" s="11">
        <f t="shared" si="51"/>
        <v>-132339.29115786802</v>
      </c>
    </row>
    <row r="295" spans="1:21">
      <c r="A295">
        <v>15</v>
      </c>
      <c r="B295" s="11">
        <f t="shared" si="50"/>
        <v>-508702.93919830566</v>
      </c>
      <c r="C295" s="11">
        <f t="shared" si="50"/>
        <v>-508702.93919830566</v>
      </c>
      <c r="D295" s="11">
        <f t="shared" si="50"/>
        <v>-508702.93919830566</v>
      </c>
      <c r="E295" s="11">
        <f t="shared" si="50"/>
        <v>-482522.66125064943</v>
      </c>
      <c r="F295" s="11">
        <f t="shared" si="50"/>
        <v>-482119.88774376246</v>
      </c>
      <c r="G295" s="11">
        <f t="shared" si="50"/>
        <v>-425731.59677957965</v>
      </c>
      <c r="H295" s="11">
        <f t="shared" si="50"/>
        <v>-453925.74226167111</v>
      </c>
      <c r="I295" s="11">
        <f t="shared" si="50"/>
        <v>-453925.74226167111</v>
      </c>
      <c r="J295" s="11">
        <f t="shared" si="51"/>
        <v>-432175.97288977198</v>
      </c>
      <c r="K295" s="11">
        <f t="shared" si="51"/>
        <v>-431773.19938288501</v>
      </c>
      <c r="L295" s="11">
        <f t="shared" si="51"/>
        <v>-355649.0065812383</v>
      </c>
      <c r="M295" s="11">
        <f t="shared" si="51"/>
        <v>-406398.46844900271</v>
      </c>
      <c r="N295" s="11">
        <f t="shared" si="51"/>
        <v>-406398.46844900271</v>
      </c>
      <c r="O295" s="11">
        <f t="shared" si="51"/>
        <v>-336718.65175754827</v>
      </c>
      <c r="P295" s="11">
        <f t="shared" si="51"/>
        <v>-271872.11714873818</v>
      </c>
      <c r="Q295" s="11">
        <f t="shared" si="51"/>
        <v>-144192.915465553</v>
      </c>
      <c r="R295" s="11">
        <f t="shared" si="51"/>
        <v>-144998.46247932705</v>
      </c>
      <c r="S295" s="11">
        <f t="shared" si="51"/>
        <v>-138956.85987602177</v>
      </c>
      <c r="T295" s="11">
        <f t="shared" si="51"/>
        <v>-142179.04793111791</v>
      </c>
      <c r="U295" s="11">
        <f t="shared" si="51"/>
        <v>-128484.74869695924</v>
      </c>
    </row>
    <row r="296" spans="1:21">
      <c r="A296">
        <v>16</v>
      </c>
      <c r="B296" s="11">
        <f t="shared" si="50"/>
        <v>-493886.34873621922</v>
      </c>
      <c r="C296" s="11">
        <f t="shared" si="50"/>
        <v>-493886.34873621922</v>
      </c>
      <c r="D296" s="11">
        <f t="shared" si="50"/>
        <v>-493886.34873621922</v>
      </c>
      <c r="E296" s="11">
        <f t="shared" si="50"/>
        <v>-468468.6031559704</v>
      </c>
      <c r="F296" s="11">
        <f t="shared" si="50"/>
        <v>-468077.56091627432</v>
      </c>
      <c r="G296" s="11">
        <f t="shared" si="50"/>
        <v>-413331.64735881524</v>
      </c>
      <c r="H296" s="11">
        <f t="shared" si="50"/>
        <v>-440704.60413754487</v>
      </c>
      <c r="I296" s="11">
        <f t="shared" si="50"/>
        <v>-440704.60413754487</v>
      </c>
      <c r="J296" s="11">
        <f t="shared" si="51"/>
        <v>-419588.32319395343</v>
      </c>
      <c r="K296" s="11">
        <f t="shared" si="51"/>
        <v>-419197.28095425735</v>
      </c>
      <c r="L296" s="11">
        <f t="shared" si="51"/>
        <v>-345290.29765168775</v>
      </c>
      <c r="M296" s="11">
        <f t="shared" si="51"/>
        <v>-394561.6198534008</v>
      </c>
      <c r="N296" s="11">
        <f t="shared" si="51"/>
        <v>-394561.6198534008</v>
      </c>
      <c r="O296" s="11">
        <f t="shared" si="51"/>
        <v>-326911.31238596927</v>
      </c>
      <c r="P296" s="11">
        <f t="shared" si="51"/>
        <v>-263953.5117948915</v>
      </c>
      <c r="Q296" s="11">
        <f t="shared" si="51"/>
        <v>-139993.12181121652</v>
      </c>
      <c r="R296" s="11">
        <f t="shared" si="51"/>
        <v>-140775.2062906088</v>
      </c>
      <c r="S296" s="11">
        <f t="shared" si="51"/>
        <v>-134909.57269516677</v>
      </c>
      <c r="T296" s="11">
        <f t="shared" si="51"/>
        <v>-138037.91061273587</v>
      </c>
      <c r="U296" s="11">
        <f t="shared" si="51"/>
        <v>-124742.47446306725</v>
      </c>
    </row>
    <row r="297" spans="1:21">
      <c r="A297">
        <v>17</v>
      </c>
      <c r="B297" s="11">
        <f t="shared" si="50"/>
        <v>-479501.30945264001</v>
      </c>
      <c r="C297" s="11">
        <f t="shared" si="50"/>
        <v>-479501.30945264001</v>
      </c>
      <c r="D297" s="11">
        <f t="shared" si="50"/>
        <v>-479501.30945264001</v>
      </c>
      <c r="E297" s="11">
        <f t="shared" si="50"/>
        <v>-454823.88655919454</v>
      </c>
      <c r="F297" s="11">
        <f t="shared" si="50"/>
        <v>-454444.23389929545</v>
      </c>
      <c r="G297" s="11">
        <f t="shared" si="50"/>
        <v>-401292.86151341285</v>
      </c>
      <c r="H297" s="11">
        <f t="shared" si="50"/>
        <v>-427868.54770635423</v>
      </c>
      <c r="I297" s="11">
        <f t="shared" si="50"/>
        <v>-427868.54770635423</v>
      </c>
      <c r="J297" s="11">
        <f t="shared" si="51"/>
        <v>-407367.30407179944</v>
      </c>
      <c r="K297" s="11">
        <f t="shared" si="51"/>
        <v>-406987.65141190036</v>
      </c>
      <c r="L297" s="11">
        <f t="shared" si="51"/>
        <v>-335233.298690959</v>
      </c>
      <c r="M297" s="11">
        <f t="shared" si="51"/>
        <v>-383069.53383825318</v>
      </c>
      <c r="N297" s="11">
        <f t="shared" si="51"/>
        <v>-383069.53383825318</v>
      </c>
      <c r="O297" s="11">
        <f t="shared" si="51"/>
        <v>-317389.62367569836</v>
      </c>
      <c r="P297" s="11">
        <f t="shared" si="51"/>
        <v>-256265.54543193348</v>
      </c>
      <c r="Q297" s="11">
        <f t="shared" si="51"/>
        <v>-135915.65224389953</v>
      </c>
      <c r="R297" s="11">
        <f t="shared" si="51"/>
        <v>-136674.95756369788</v>
      </c>
      <c r="S297" s="11">
        <f t="shared" si="51"/>
        <v>-130980.16766521047</v>
      </c>
      <c r="T297" s="11">
        <f t="shared" si="51"/>
        <v>-134017.38894440373</v>
      </c>
      <c r="U297" s="11">
        <f t="shared" si="51"/>
        <v>-121109.19850783228</v>
      </c>
    </row>
    <row r="298" spans="1:21">
      <c r="A298">
        <v>18</v>
      </c>
      <c r="B298" s="11">
        <f t="shared" si="50"/>
        <v>-465535.251895767</v>
      </c>
      <c r="C298" s="11">
        <f t="shared" si="50"/>
        <v>-465535.251895767</v>
      </c>
      <c r="D298" s="11">
        <f t="shared" si="50"/>
        <v>-465535.251895767</v>
      </c>
      <c r="E298" s="11">
        <f t="shared" si="50"/>
        <v>-441576.58889242186</v>
      </c>
      <c r="F298" s="11">
        <f t="shared" si="50"/>
        <v>-441207.99407698587</v>
      </c>
      <c r="G298" s="11">
        <f t="shared" si="50"/>
        <v>-389604.71991593484</v>
      </c>
      <c r="H298" s="11">
        <f t="shared" si="50"/>
        <v>-415406.35699646041</v>
      </c>
      <c r="I298" s="11">
        <f t="shared" si="50"/>
        <v>-415406.35699646041</v>
      </c>
      <c r="J298" s="11">
        <f t="shared" si="51"/>
        <v>-395502.23696291208</v>
      </c>
      <c r="K298" s="11">
        <f t="shared" si="51"/>
        <v>-395133.64214747609</v>
      </c>
      <c r="L298" s="11">
        <f t="shared" si="51"/>
        <v>-325469.22203005728</v>
      </c>
      <c r="M298" s="11">
        <f t="shared" si="51"/>
        <v>-371912.16877500305</v>
      </c>
      <c r="N298" s="11">
        <f t="shared" si="51"/>
        <v>-371912.16877500305</v>
      </c>
      <c r="O298" s="11">
        <f t="shared" si="51"/>
        <v>-308145.26570456149</v>
      </c>
      <c r="P298" s="11">
        <f t="shared" si="51"/>
        <v>-248801.5004193529</v>
      </c>
      <c r="Q298" s="11">
        <f t="shared" si="51"/>
        <v>-131956.94392611604</v>
      </c>
      <c r="R298" s="11">
        <f t="shared" si="51"/>
        <v>-132694.13355698824</v>
      </c>
      <c r="S298" s="11">
        <f t="shared" si="51"/>
        <v>-127165.21132544705</v>
      </c>
      <c r="T298" s="11">
        <f t="shared" si="51"/>
        <v>-130113.96984893567</v>
      </c>
      <c r="U298" s="11">
        <f t="shared" si="51"/>
        <v>-117581.74612410901</v>
      </c>
    </row>
    <row r="299" spans="1:21">
      <c r="A299">
        <v>19</v>
      </c>
      <c r="B299" s="11">
        <f t="shared" si="50"/>
        <v>-451975.97271433688</v>
      </c>
      <c r="C299" s="11">
        <f t="shared" si="50"/>
        <v>-451975.97271433688</v>
      </c>
      <c r="D299" s="11">
        <f t="shared" si="50"/>
        <v>-451975.97271433688</v>
      </c>
      <c r="E299" s="11">
        <f t="shared" si="50"/>
        <v>-428715.13484701153</v>
      </c>
      <c r="F299" s="11">
        <f t="shared" si="50"/>
        <v>-428357.27580289892</v>
      </c>
      <c r="G299" s="11">
        <f t="shared" si="50"/>
        <v>-378257.00962712121</v>
      </c>
      <c r="H299" s="11">
        <f t="shared" si="50"/>
        <v>-403307.14271501009</v>
      </c>
      <c r="I299" s="11">
        <f t="shared" si="50"/>
        <v>-403307.14271501009</v>
      </c>
      <c r="J299" s="11">
        <f t="shared" si="51"/>
        <v>-383982.75433292438</v>
      </c>
      <c r="K299" s="11">
        <f t="shared" si="51"/>
        <v>-383624.89528881171</v>
      </c>
      <c r="L299" s="11">
        <f t="shared" si="51"/>
        <v>-315989.53595151193</v>
      </c>
      <c r="M299" s="11">
        <f t="shared" si="51"/>
        <v>-361079.77550971176</v>
      </c>
      <c r="N299" s="11">
        <f t="shared" si="51"/>
        <v>-361079.77550971176</v>
      </c>
      <c r="O299" s="11">
        <f t="shared" si="51"/>
        <v>-299170.16087821504</v>
      </c>
      <c r="P299" s="11">
        <f t="shared" si="51"/>
        <v>-241554.85477607077</v>
      </c>
      <c r="Q299" s="11">
        <f t="shared" si="51"/>
        <v>-128113.53779234568</v>
      </c>
      <c r="R299" s="11">
        <f t="shared" si="51"/>
        <v>-128829.2558805711</v>
      </c>
      <c r="S299" s="11">
        <f t="shared" si="51"/>
        <v>-123461.37021888063</v>
      </c>
      <c r="T299" s="11">
        <f t="shared" si="51"/>
        <v>-126324.2425717822</v>
      </c>
      <c r="U299" s="11">
        <f t="shared" si="51"/>
        <v>-114157.03507195049</v>
      </c>
    </row>
    <row r="300" spans="1:21">
      <c r="A300">
        <v>20</v>
      </c>
      <c r="B300" s="11">
        <f t="shared" si="50"/>
        <v>-438811.62399450183</v>
      </c>
      <c r="C300" s="11">
        <f t="shared" si="50"/>
        <v>-438811.62399450183</v>
      </c>
      <c r="D300" s="11">
        <f t="shared" si="50"/>
        <v>-438811.62399450183</v>
      </c>
      <c r="E300" s="11">
        <f t="shared" si="50"/>
        <v>-416228.28625923453</v>
      </c>
      <c r="F300" s="11">
        <f t="shared" si="50"/>
        <v>-415880.8502940766</v>
      </c>
      <c r="G300" s="11">
        <f t="shared" si="50"/>
        <v>-367239.81517196231</v>
      </c>
      <c r="H300" s="11">
        <f t="shared" si="50"/>
        <v>-391560.33273301955</v>
      </c>
      <c r="I300" s="11">
        <f t="shared" si="50"/>
        <v>-391560.33273301955</v>
      </c>
      <c r="J300" s="11">
        <f t="shared" si="51"/>
        <v>-372798.7906144897</v>
      </c>
      <c r="K300" s="11">
        <f t="shared" si="51"/>
        <v>-372451.35464933177</v>
      </c>
      <c r="L300" s="11">
        <f t="shared" si="51"/>
        <v>-306785.95723447757</v>
      </c>
      <c r="M300" s="11">
        <f t="shared" si="51"/>
        <v>-350562.88884438033</v>
      </c>
      <c r="N300" s="11">
        <f t="shared" si="51"/>
        <v>-350562.88884438033</v>
      </c>
      <c r="O300" s="11">
        <f t="shared" si="51"/>
        <v>-290456.46687205345</v>
      </c>
      <c r="P300" s="11">
        <f t="shared" si="51"/>
        <v>-234519.27648162213</v>
      </c>
      <c r="Q300" s="11">
        <f t="shared" si="51"/>
        <v>-124382.0755265492</v>
      </c>
      <c r="R300" s="11">
        <f t="shared" si="51"/>
        <v>-125076.94745686515</v>
      </c>
      <c r="S300" s="11">
        <f t="shared" si="51"/>
        <v>-119865.40797949577</v>
      </c>
      <c r="T300" s="11">
        <f t="shared" si="51"/>
        <v>-122644.89570075943</v>
      </c>
      <c r="U300" s="11">
        <f t="shared" si="51"/>
        <v>-110832.07288538883</v>
      </c>
    </row>
    <row r="301" spans="1:21">
      <c r="B301" s="11"/>
      <c r="C301" s="11"/>
      <c r="D301" s="11"/>
      <c r="E301" s="11"/>
      <c r="F301" s="11"/>
      <c r="G301" s="11"/>
      <c r="H301" s="11"/>
      <c r="I301" s="11"/>
      <c r="J301" s="11"/>
      <c r="K301" s="11"/>
      <c r="L301" s="11"/>
      <c r="M301" s="11"/>
      <c r="N301" s="11"/>
      <c r="O301" s="11"/>
      <c r="P301" s="11"/>
      <c r="Q301" s="11"/>
      <c r="R301" s="11"/>
      <c r="S301" s="11"/>
      <c r="T301" s="11"/>
      <c r="U301" s="11"/>
    </row>
    <row r="302" spans="1:21">
      <c r="A302" t="s">
        <v>225</v>
      </c>
      <c r="B302" s="11">
        <f>SUM(B281:B300)</f>
        <v>-11814116.432014992</v>
      </c>
      <c r="C302" s="11">
        <f t="shared" ref="C302:U302" si="52">SUM(C281:C300)</f>
        <v>-11814116.432014992</v>
      </c>
      <c r="D302" s="11">
        <f t="shared" si="52"/>
        <v>-11814116.432014992</v>
      </c>
      <c r="E302" s="11">
        <f t="shared" si="52"/>
        <v>-11206105.689274713</v>
      </c>
      <c r="F302" s="11">
        <f t="shared" si="52"/>
        <v>-11196751.67784794</v>
      </c>
      <c r="G302" s="11">
        <f t="shared" si="52"/>
        <v>-9887190.0780996419</v>
      </c>
      <c r="H302" s="11">
        <f t="shared" si="52"/>
        <v>-10541970.877973795</v>
      </c>
      <c r="I302" s="11">
        <f t="shared" si="52"/>
        <v>-10541970.877973795</v>
      </c>
      <c r="J302" s="11">
        <f t="shared" si="52"/>
        <v>-10036854.26092802</v>
      </c>
      <c r="K302" s="11">
        <f t="shared" si="52"/>
        <v>-10027500.249501247</v>
      </c>
      <c r="L302" s="11">
        <f t="shared" si="52"/>
        <v>-8259592.0898410482</v>
      </c>
      <c r="M302" s="11">
        <f t="shared" si="52"/>
        <v>-9438197.5296145119</v>
      </c>
      <c r="N302" s="11">
        <f t="shared" si="52"/>
        <v>-9438197.5296145119</v>
      </c>
      <c r="O302" s="11">
        <f t="shared" si="52"/>
        <v>-7819953.5527826902</v>
      </c>
      <c r="P302" s="11">
        <f t="shared" si="52"/>
        <v>-6313957.7130721463</v>
      </c>
      <c r="Q302" s="11">
        <f t="shared" si="52"/>
        <v>-3348736.0907849302</v>
      </c>
      <c r="R302" s="11">
        <f t="shared" si="52"/>
        <v>-3367444.1136384783</v>
      </c>
      <c r="S302" s="11">
        <f t="shared" si="52"/>
        <v>-3227133.9422368756</v>
      </c>
      <c r="T302" s="11">
        <f t="shared" si="52"/>
        <v>-3301966.0336510628</v>
      </c>
      <c r="U302" s="11">
        <f t="shared" si="52"/>
        <v>-2983929.6451407624</v>
      </c>
    </row>
    <row r="304" spans="1:21">
      <c r="A304" t="s">
        <v>200</v>
      </c>
    </row>
    <row r="305" spans="1:21">
      <c r="A305" t="s">
        <v>100</v>
      </c>
    </row>
    <row r="306" spans="1:21">
      <c r="A306">
        <v>1</v>
      </c>
      <c r="B306" s="11">
        <f t="shared" ref="B306:P306" si="53">-$B$176*B243</f>
        <v>-221409.48647256132</v>
      </c>
      <c r="C306" s="11">
        <f t="shared" si="53"/>
        <v>-221410.4223672151</v>
      </c>
      <c r="D306" s="11">
        <f t="shared" si="53"/>
        <v>-221409.52716363317</v>
      </c>
      <c r="E306" s="11">
        <f t="shared" si="53"/>
        <v>-224557.11992514477</v>
      </c>
      <c r="F306" s="11">
        <f t="shared" si="53"/>
        <v>-224557.46173014876</v>
      </c>
      <c r="G306" s="11">
        <f t="shared" si="53"/>
        <v>-233131.54259700814</v>
      </c>
      <c r="H306" s="11">
        <f t="shared" si="53"/>
        <v>-229041.12956123881</v>
      </c>
      <c r="I306" s="11">
        <f t="shared" si="53"/>
        <v>-229041.43067517085</v>
      </c>
      <c r="J306" s="11">
        <f t="shared" si="53"/>
        <v>-232654.99317749764</v>
      </c>
      <c r="K306" s="11">
        <f t="shared" si="53"/>
        <v>-232655.09889290237</v>
      </c>
      <c r="L306" s="11">
        <f t="shared" si="53"/>
        <v>-244711.83916515167</v>
      </c>
      <c r="M306" s="11">
        <f t="shared" si="53"/>
        <v>-237109.83545325001</v>
      </c>
      <c r="N306" s="11">
        <f t="shared" si="53"/>
        <v>-237109.68896539108</v>
      </c>
      <c r="O306" s="11">
        <f t="shared" si="53"/>
        <v>-248221.27321447301</v>
      </c>
      <c r="P306" s="11">
        <f t="shared" si="53"/>
        <v>-259466.21838261699</v>
      </c>
      <c r="Q306" s="11">
        <f>-$B$176*Q243</f>
        <v>-283249.62092727062</v>
      </c>
      <c r="R306" s="11">
        <f>-$B$176*R243</f>
        <v>-282970.31740971335</v>
      </c>
      <c r="S306" s="11">
        <f>-$B$176*S243</f>
        <v>-284478.21459951875</v>
      </c>
      <c r="T306" s="11">
        <f>-$B$176*T243</f>
        <v>-283799.9351219309</v>
      </c>
      <c r="U306" s="11">
        <f>-$B$176*U243</f>
        <v>-286620.0542749638</v>
      </c>
    </row>
    <row r="307" spans="1:21">
      <c r="A307">
        <v>2</v>
      </c>
      <c r="B307" s="11">
        <f t="shared" ref="B307:I316" si="54">B$306/((1+$B$173)^$A307)</f>
        <v>-208699.67619244164</v>
      </c>
      <c r="C307" s="11">
        <f t="shared" si="54"/>
        <v>-208700.55836291367</v>
      </c>
      <c r="D307" s="11">
        <f t="shared" si="54"/>
        <v>-208699.7145476795</v>
      </c>
      <c r="E307" s="11">
        <f t="shared" si="54"/>
        <v>-211666.62260829934</v>
      </c>
      <c r="F307" s="11">
        <f t="shared" si="54"/>
        <v>-211666.94479229784</v>
      </c>
      <c r="G307" s="11">
        <f t="shared" si="54"/>
        <v>-219748.83834198149</v>
      </c>
      <c r="H307" s="11">
        <f t="shared" si="54"/>
        <v>-215893.23174779792</v>
      </c>
      <c r="I307" s="11">
        <f t="shared" si="54"/>
        <v>-215893.51557655845</v>
      </c>
      <c r="J307" s="11">
        <f t="shared" ref="J307:U316" si="55">J$306/((1+$B$173)^$A307)</f>
        <v>-219299.64480865083</v>
      </c>
      <c r="K307" s="11">
        <f t="shared" si="55"/>
        <v>-219299.74445555886</v>
      </c>
      <c r="L307" s="11">
        <f t="shared" si="55"/>
        <v>-230664.37851366922</v>
      </c>
      <c r="M307" s="11">
        <f t="shared" si="55"/>
        <v>-223498.7609136111</v>
      </c>
      <c r="N307" s="11">
        <f t="shared" si="55"/>
        <v>-223498.62283475453</v>
      </c>
      <c r="O307" s="11">
        <f t="shared" si="55"/>
        <v>-233972.35669193423</v>
      </c>
      <c r="P307" s="11">
        <f t="shared" si="55"/>
        <v>-244571.79600586012</v>
      </c>
      <c r="Q307" s="11">
        <f t="shared" si="55"/>
        <v>-266989.93394973193</v>
      </c>
      <c r="R307" s="11">
        <f t="shared" si="55"/>
        <v>-266726.66359667579</v>
      </c>
      <c r="S307" s="11">
        <f t="shared" si="55"/>
        <v>-268148.00131918065</v>
      </c>
      <c r="T307" s="11">
        <f t="shared" si="55"/>
        <v>-267508.65785835695</v>
      </c>
      <c r="U307" s="11">
        <f t="shared" si="55"/>
        <v>-270166.89063527551</v>
      </c>
    </row>
    <row r="308" spans="1:21">
      <c r="A308">
        <v>3</v>
      </c>
      <c r="B308" s="11">
        <f t="shared" si="54"/>
        <v>-202621.04484703069</v>
      </c>
      <c r="C308" s="11">
        <f t="shared" si="54"/>
        <v>-202621.90132321714</v>
      </c>
      <c r="D308" s="11">
        <f t="shared" si="54"/>
        <v>-202621.08208512573</v>
      </c>
      <c r="E308" s="11">
        <f t="shared" si="54"/>
        <v>-205501.57534786343</v>
      </c>
      <c r="F308" s="11">
        <f t="shared" si="54"/>
        <v>-205501.88814786196</v>
      </c>
      <c r="G308" s="11">
        <f t="shared" si="54"/>
        <v>-213348.38673978782</v>
      </c>
      <c r="H308" s="11">
        <f t="shared" si="54"/>
        <v>-209605.07936679409</v>
      </c>
      <c r="I308" s="11">
        <f t="shared" si="54"/>
        <v>-209605.35492869752</v>
      </c>
      <c r="J308" s="11">
        <f t="shared" si="55"/>
        <v>-212912.27651325322</v>
      </c>
      <c r="K308" s="11">
        <f t="shared" si="55"/>
        <v>-212912.3732578241</v>
      </c>
      <c r="L308" s="11">
        <f t="shared" si="55"/>
        <v>-223945.9985569604</v>
      </c>
      <c r="M308" s="11">
        <f t="shared" si="55"/>
        <v>-216989.08826564183</v>
      </c>
      <c r="N308" s="11">
        <f t="shared" si="55"/>
        <v>-216988.95420849955</v>
      </c>
      <c r="O308" s="11">
        <f t="shared" si="55"/>
        <v>-227157.62785624681</v>
      </c>
      <c r="P308" s="11">
        <f t="shared" si="55"/>
        <v>-237448.34563675738</v>
      </c>
      <c r="Q308" s="11">
        <f t="shared" si="55"/>
        <v>-259213.52810653587</v>
      </c>
      <c r="R308" s="11">
        <f t="shared" si="55"/>
        <v>-258957.92582201533</v>
      </c>
      <c r="S308" s="11">
        <f t="shared" si="55"/>
        <v>-260337.86535842781</v>
      </c>
      <c r="T308" s="11">
        <f t="shared" si="55"/>
        <v>-259717.14355180287</v>
      </c>
      <c r="U308" s="11">
        <f t="shared" si="55"/>
        <v>-262297.95207308303</v>
      </c>
    </row>
    <row r="309" spans="1:21">
      <c r="A309">
        <v>4</v>
      </c>
      <c r="B309" s="11">
        <f t="shared" si="54"/>
        <v>-196719.46101653468</v>
      </c>
      <c r="C309" s="11">
        <f t="shared" si="54"/>
        <v>-196720.29254681277</v>
      </c>
      <c r="D309" s="11">
        <f t="shared" si="54"/>
        <v>-196719.49717002499</v>
      </c>
      <c r="E309" s="11">
        <f t="shared" si="54"/>
        <v>-199516.09257074122</v>
      </c>
      <c r="F309" s="11">
        <f t="shared" si="54"/>
        <v>-199516.39626006017</v>
      </c>
      <c r="G309" s="11">
        <f t="shared" si="54"/>
        <v>-207134.35605804645</v>
      </c>
      <c r="H309" s="11">
        <f t="shared" si="54"/>
        <v>-203500.0770551399</v>
      </c>
      <c r="I309" s="11">
        <f t="shared" si="54"/>
        <v>-203500.34459096848</v>
      </c>
      <c r="J309" s="11">
        <f t="shared" si="55"/>
        <v>-206710.94807111964</v>
      </c>
      <c r="K309" s="11">
        <f t="shared" si="55"/>
        <v>-206711.04199788751</v>
      </c>
      <c r="L309" s="11">
        <f t="shared" si="55"/>
        <v>-217423.2995698645</v>
      </c>
      <c r="M309" s="11">
        <f t="shared" si="55"/>
        <v>-210669.01773363288</v>
      </c>
      <c r="N309" s="11">
        <f t="shared" si="55"/>
        <v>-210668.88758106754</v>
      </c>
      <c r="O309" s="11">
        <f t="shared" si="55"/>
        <v>-220541.38626820082</v>
      </c>
      <c r="P309" s="11">
        <f t="shared" si="55"/>
        <v>-230532.37440461884</v>
      </c>
      <c r="Q309" s="11">
        <f t="shared" si="55"/>
        <v>-251663.61952090863</v>
      </c>
      <c r="R309" s="11">
        <f t="shared" si="55"/>
        <v>-251415.46196312169</v>
      </c>
      <c r="S309" s="11">
        <f t="shared" si="55"/>
        <v>-252755.20908585226</v>
      </c>
      <c r="T309" s="11">
        <f t="shared" si="55"/>
        <v>-252152.56655514846</v>
      </c>
      <c r="U309" s="11">
        <f t="shared" si="55"/>
        <v>-254658.20589619712</v>
      </c>
    </row>
    <row r="310" spans="1:21">
      <c r="A310">
        <v>5</v>
      </c>
      <c r="B310" s="11">
        <f t="shared" si="54"/>
        <v>-190989.76797721814</v>
      </c>
      <c r="C310" s="11">
        <f t="shared" si="54"/>
        <v>-190990.57528816775</v>
      </c>
      <c r="D310" s="11">
        <f t="shared" si="54"/>
        <v>-190989.80307769417</v>
      </c>
      <c r="E310" s="11">
        <f t="shared" si="54"/>
        <v>-193704.94424343808</v>
      </c>
      <c r="F310" s="11">
        <f t="shared" si="54"/>
        <v>-193705.23908743708</v>
      </c>
      <c r="G310" s="11">
        <f t="shared" si="54"/>
        <v>-201101.31656121017</v>
      </c>
      <c r="H310" s="11">
        <f t="shared" si="54"/>
        <v>-197572.89034479603</v>
      </c>
      <c r="I310" s="11">
        <f t="shared" si="54"/>
        <v>-197573.15008831891</v>
      </c>
      <c r="J310" s="11">
        <f t="shared" si="55"/>
        <v>-200690.24084574723</v>
      </c>
      <c r="K310" s="11">
        <f t="shared" si="55"/>
        <v>-200690.33203678401</v>
      </c>
      <c r="L310" s="11">
        <f t="shared" si="55"/>
        <v>-211090.58210666457</v>
      </c>
      <c r="M310" s="11">
        <f t="shared" si="55"/>
        <v>-204533.02692585718</v>
      </c>
      <c r="N310" s="11">
        <f t="shared" si="55"/>
        <v>-204532.90056414326</v>
      </c>
      <c r="O310" s="11">
        <f t="shared" si="55"/>
        <v>-214117.85074582603</v>
      </c>
      <c r="P310" s="11">
        <f t="shared" si="55"/>
        <v>-223817.8392277853</v>
      </c>
      <c r="Q310" s="11">
        <f t="shared" si="55"/>
        <v>-244333.61118534819</v>
      </c>
      <c r="R310" s="11">
        <f t="shared" si="55"/>
        <v>-244092.68151759388</v>
      </c>
      <c r="S310" s="11">
        <f t="shared" si="55"/>
        <v>-245393.40687946824</v>
      </c>
      <c r="T310" s="11">
        <f t="shared" si="55"/>
        <v>-244808.31704383346</v>
      </c>
      <c r="U310" s="11">
        <f t="shared" si="55"/>
        <v>-247240.97659824966</v>
      </c>
    </row>
    <row r="311" spans="1:21">
      <c r="A311">
        <v>6</v>
      </c>
      <c r="B311" s="11">
        <f t="shared" si="54"/>
        <v>-185426.95920118265</v>
      </c>
      <c r="C311" s="11">
        <f t="shared" si="54"/>
        <v>-185427.7429982211</v>
      </c>
      <c r="D311" s="11">
        <f t="shared" si="54"/>
        <v>-185426.99327931472</v>
      </c>
      <c r="E311" s="11">
        <f t="shared" si="54"/>
        <v>-188063.05266353211</v>
      </c>
      <c r="F311" s="11">
        <f t="shared" si="54"/>
        <v>-188063.3389198418</v>
      </c>
      <c r="G311" s="11">
        <f t="shared" si="54"/>
        <v>-195243.99666136908</v>
      </c>
      <c r="H311" s="11">
        <f t="shared" si="54"/>
        <v>-191818.34014057866</v>
      </c>
      <c r="I311" s="11">
        <f t="shared" si="54"/>
        <v>-191818.59231875621</v>
      </c>
      <c r="J311" s="11">
        <f t="shared" si="55"/>
        <v>-194844.89402499731</v>
      </c>
      <c r="K311" s="11">
        <f t="shared" si="55"/>
        <v>-194844.98255998446</v>
      </c>
      <c r="L311" s="11">
        <f t="shared" si="55"/>
        <v>-204942.31272491705</v>
      </c>
      <c r="M311" s="11">
        <f t="shared" si="55"/>
        <v>-198575.7542969487</v>
      </c>
      <c r="N311" s="11">
        <f t="shared" si="55"/>
        <v>-198575.63161567305</v>
      </c>
      <c r="O311" s="11">
        <f t="shared" si="55"/>
        <v>-207881.40849109323</v>
      </c>
      <c r="P311" s="11">
        <f t="shared" si="55"/>
        <v>-217298.87303668473</v>
      </c>
      <c r="Q311" s="11">
        <f t="shared" si="55"/>
        <v>-237217.09823820213</v>
      </c>
      <c r="R311" s="11">
        <f t="shared" si="55"/>
        <v>-236983.18593941155</v>
      </c>
      <c r="S311" s="11">
        <f t="shared" si="55"/>
        <v>-238246.02609657109</v>
      </c>
      <c r="T311" s="11">
        <f t="shared" si="55"/>
        <v>-237677.97771245966</v>
      </c>
      <c r="U311" s="11">
        <f t="shared" si="55"/>
        <v>-240039.78310509675</v>
      </c>
    </row>
    <row r="312" spans="1:21">
      <c r="A312">
        <v>7</v>
      </c>
      <c r="B312" s="11">
        <f t="shared" si="54"/>
        <v>-180026.17398173071</v>
      </c>
      <c r="C312" s="11">
        <f t="shared" si="54"/>
        <v>-180026.93494972921</v>
      </c>
      <c r="D312" s="11">
        <f t="shared" si="54"/>
        <v>-180026.20706729582</v>
      </c>
      <c r="E312" s="11">
        <f t="shared" si="54"/>
        <v>-182585.48802284669</v>
      </c>
      <c r="F312" s="11">
        <f t="shared" si="54"/>
        <v>-182585.76594159397</v>
      </c>
      <c r="G312" s="11">
        <f t="shared" si="54"/>
        <v>-189557.2783120088</v>
      </c>
      <c r="H312" s="11">
        <f t="shared" si="54"/>
        <v>-186231.39819473657</v>
      </c>
      <c r="I312" s="11">
        <f t="shared" si="54"/>
        <v>-186231.64302791865</v>
      </c>
      <c r="J312" s="11">
        <f t="shared" si="55"/>
        <v>-189169.80002426921</v>
      </c>
      <c r="K312" s="11">
        <f t="shared" si="55"/>
        <v>-189169.88598056743</v>
      </c>
      <c r="L312" s="11">
        <f t="shared" si="55"/>
        <v>-198973.11915040488</v>
      </c>
      <c r="M312" s="11">
        <f t="shared" si="55"/>
        <v>-192791.99446305697</v>
      </c>
      <c r="N312" s="11">
        <f t="shared" si="55"/>
        <v>-192791.87535502235</v>
      </c>
      <c r="O312" s="11">
        <f t="shared" si="55"/>
        <v>-201826.61018552739</v>
      </c>
      <c r="P312" s="11">
        <f t="shared" si="55"/>
        <v>-210969.77964726673</v>
      </c>
      <c r="Q312" s="11">
        <f t="shared" si="55"/>
        <v>-230307.86236718652</v>
      </c>
      <c r="R312" s="11">
        <f t="shared" si="55"/>
        <v>-230080.76304797234</v>
      </c>
      <c r="S312" s="11">
        <f t="shared" si="55"/>
        <v>-231306.82145298162</v>
      </c>
      <c r="T312" s="11">
        <f t="shared" si="55"/>
        <v>-230755.31816743655</v>
      </c>
      <c r="U312" s="11">
        <f t="shared" si="55"/>
        <v>-233048.3331117444</v>
      </c>
    </row>
    <row r="313" spans="1:21">
      <c r="A313">
        <v>8</v>
      </c>
      <c r="B313" s="11">
        <f t="shared" si="54"/>
        <v>-174782.69318614635</v>
      </c>
      <c r="C313" s="11">
        <f t="shared" si="54"/>
        <v>-174783.43199002839</v>
      </c>
      <c r="D313" s="11">
        <f t="shared" si="54"/>
        <v>-174782.72530805424</v>
      </c>
      <c r="E313" s="11">
        <f t="shared" si="54"/>
        <v>-177267.46409985117</v>
      </c>
      <c r="F313" s="11">
        <f t="shared" si="54"/>
        <v>-177267.73392387768</v>
      </c>
      <c r="G313" s="11">
        <f t="shared" si="54"/>
        <v>-184036.1925359309</v>
      </c>
      <c r="H313" s="11">
        <f t="shared" si="54"/>
        <v>-180807.18271333649</v>
      </c>
      <c r="I313" s="11">
        <f t="shared" si="54"/>
        <v>-180807.42041545501</v>
      </c>
      <c r="J313" s="11">
        <f t="shared" si="55"/>
        <v>-183660.00002356237</v>
      </c>
      <c r="K313" s="11">
        <f t="shared" si="55"/>
        <v>-183660.08347627908</v>
      </c>
      <c r="L313" s="11">
        <f t="shared" si="55"/>
        <v>-193177.78558291739</v>
      </c>
      <c r="M313" s="11">
        <f t="shared" si="55"/>
        <v>-187176.6936534534</v>
      </c>
      <c r="N313" s="11">
        <f t="shared" si="55"/>
        <v>-187176.57801458484</v>
      </c>
      <c r="O313" s="11">
        <f t="shared" si="55"/>
        <v>-195948.16522866741</v>
      </c>
      <c r="P313" s="11">
        <f t="shared" si="55"/>
        <v>-204825.02878375413</v>
      </c>
      <c r="Q313" s="11">
        <f t="shared" si="55"/>
        <v>-223599.86637590925</v>
      </c>
      <c r="R313" s="11">
        <f t="shared" si="55"/>
        <v>-223379.38159997319</v>
      </c>
      <c r="S313" s="11">
        <f t="shared" si="55"/>
        <v>-224569.7295660016</v>
      </c>
      <c r="T313" s="11">
        <f t="shared" si="55"/>
        <v>-224034.28948294814</v>
      </c>
      <c r="U313" s="11">
        <f t="shared" si="55"/>
        <v>-226260.51758421789</v>
      </c>
    </row>
    <row r="314" spans="1:21">
      <c r="A314">
        <v>9</v>
      </c>
      <c r="B314" s="11">
        <f t="shared" si="54"/>
        <v>-169691.93513218092</v>
      </c>
      <c r="C314" s="11">
        <f t="shared" si="54"/>
        <v>-169692.6524175033</v>
      </c>
      <c r="D314" s="11">
        <f t="shared" si="54"/>
        <v>-169691.96631849924</v>
      </c>
      <c r="E314" s="11">
        <f t="shared" si="54"/>
        <v>-172104.33407752542</v>
      </c>
      <c r="F314" s="11">
        <f t="shared" si="54"/>
        <v>-172104.59604259967</v>
      </c>
      <c r="G314" s="11">
        <f t="shared" si="54"/>
        <v>-178675.91508342806</v>
      </c>
      <c r="H314" s="11">
        <f t="shared" si="54"/>
        <v>-175540.95409061795</v>
      </c>
      <c r="I314" s="11">
        <f t="shared" si="54"/>
        <v>-175541.1848693738</v>
      </c>
      <c r="J314" s="11">
        <f t="shared" si="55"/>
        <v>-178310.67963452658</v>
      </c>
      <c r="K314" s="11">
        <f t="shared" si="55"/>
        <v>-178310.76065658161</v>
      </c>
      <c r="L314" s="11">
        <f t="shared" si="55"/>
        <v>-187551.24813875475</v>
      </c>
      <c r="M314" s="11">
        <f t="shared" si="55"/>
        <v>-181724.94529461494</v>
      </c>
      <c r="N314" s="11">
        <f t="shared" si="55"/>
        <v>-181724.83302386876</v>
      </c>
      <c r="O314" s="11">
        <f t="shared" si="55"/>
        <v>-190240.93711521107</v>
      </c>
      <c r="P314" s="11">
        <f t="shared" si="55"/>
        <v>-198859.25124636322</v>
      </c>
      <c r="Q314" s="11">
        <f t="shared" si="55"/>
        <v>-217087.24890864975</v>
      </c>
      <c r="R314" s="11">
        <f t="shared" si="55"/>
        <v>-216873.18601939143</v>
      </c>
      <c r="S314" s="11">
        <f t="shared" si="55"/>
        <v>-218028.86365631223</v>
      </c>
      <c r="T314" s="11">
        <f t="shared" si="55"/>
        <v>-217509.01891548361</v>
      </c>
      <c r="U314" s="11">
        <f t="shared" si="55"/>
        <v>-219670.40542157076</v>
      </c>
    </row>
    <row r="315" spans="1:21">
      <c r="A315">
        <v>10</v>
      </c>
      <c r="B315" s="11">
        <f t="shared" si="54"/>
        <v>-164749.45158464168</v>
      </c>
      <c r="C315" s="11">
        <f t="shared" si="54"/>
        <v>-164750.14797815852</v>
      </c>
      <c r="D315" s="11">
        <f t="shared" si="54"/>
        <v>-164749.48186262063</v>
      </c>
      <c r="E315" s="11">
        <f t="shared" si="54"/>
        <v>-167091.58648303439</v>
      </c>
      <c r="F315" s="11">
        <f t="shared" si="54"/>
        <v>-167091.84081805794</v>
      </c>
      <c r="G315" s="11">
        <f t="shared" si="54"/>
        <v>-173471.76221692044</v>
      </c>
      <c r="H315" s="11">
        <f t="shared" si="54"/>
        <v>-170428.11076759023</v>
      </c>
      <c r="I315" s="11">
        <f t="shared" si="54"/>
        <v>-170428.33482463477</v>
      </c>
      <c r="J315" s="11">
        <f t="shared" si="55"/>
        <v>-173117.16469371511</v>
      </c>
      <c r="K315" s="11">
        <f t="shared" si="55"/>
        <v>-173117.24335590447</v>
      </c>
      <c r="L315" s="11">
        <f t="shared" si="55"/>
        <v>-182088.59042597548</v>
      </c>
      <c r="M315" s="11">
        <f t="shared" si="55"/>
        <v>-176431.98572292711</v>
      </c>
      <c r="N315" s="11">
        <f t="shared" si="55"/>
        <v>-176431.87672220269</v>
      </c>
      <c r="O315" s="11">
        <f t="shared" si="55"/>
        <v>-184699.93894680685</v>
      </c>
      <c r="P315" s="11">
        <f t="shared" si="55"/>
        <v>-193067.23421977012</v>
      </c>
      <c r="Q315" s="11">
        <f t="shared" si="55"/>
        <v>-210764.31932878616</v>
      </c>
      <c r="R315" s="11">
        <f t="shared" si="55"/>
        <v>-210556.49128096257</v>
      </c>
      <c r="S315" s="11">
        <f t="shared" si="55"/>
        <v>-211678.50840418664</v>
      </c>
      <c r="T315" s="11">
        <f t="shared" si="55"/>
        <v>-211173.80477231418</v>
      </c>
      <c r="U315" s="11">
        <f t="shared" si="55"/>
        <v>-213272.23827336967</v>
      </c>
    </row>
    <row r="316" spans="1:21">
      <c r="A316">
        <v>11</v>
      </c>
      <c r="B316" s="11">
        <f t="shared" si="54"/>
        <v>-159950.92386858413</v>
      </c>
      <c r="C316" s="11">
        <f t="shared" si="54"/>
        <v>-159951.59997879469</v>
      </c>
      <c r="D316" s="11">
        <f t="shared" si="54"/>
        <v>-159950.95326468023</v>
      </c>
      <c r="E316" s="11">
        <f t="shared" si="54"/>
        <v>-162224.84124566446</v>
      </c>
      <c r="F316" s="11">
        <f t="shared" si="54"/>
        <v>-162225.08817287176</v>
      </c>
      <c r="G316" s="11">
        <f t="shared" si="54"/>
        <v>-168419.18661836936</v>
      </c>
      <c r="H316" s="11">
        <f t="shared" si="54"/>
        <v>-165464.18521125265</v>
      </c>
      <c r="I316" s="11">
        <f t="shared" si="54"/>
        <v>-165464.40274236383</v>
      </c>
      <c r="J316" s="11">
        <f t="shared" si="55"/>
        <v>-168074.91717836418</v>
      </c>
      <c r="K316" s="11">
        <f t="shared" si="55"/>
        <v>-168074.99354942181</v>
      </c>
      <c r="L316" s="11">
        <f t="shared" si="55"/>
        <v>-176785.03924851987</v>
      </c>
      <c r="M316" s="11">
        <f t="shared" si="55"/>
        <v>-171293.19002225934</v>
      </c>
      <c r="N316" s="11">
        <f t="shared" si="55"/>
        <v>-171293.08419631328</v>
      </c>
      <c r="O316" s="11">
        <f t="shared" si="55"/>
        <v>-179320.32907456974</v>
      </c>
      <c r="P316" s="11">
        <f t="shared" si="55"/>
        <v>-187443.91671822342</v>
      </c>
      <c r="Q316" s="11">
        <f t="shared" si="55"/>
        <v>-204625.55274639433</v>
      </c>
      <c r="R316" s="11">
        <f t="shared" si="55"/>
        <v>-204423.77794268209</v>
      </c>
      <c r="S316" s="11">
        <f t="shared" si="55"/>
        <v>-205513.11495552098</v>
      </c>
      <c r="T316" s="11">
        <f t="shared" si="55"/>
        <v>-205023.11142943124</v>
      </c>
      <c r="U316" s="11">
        <f t="shared" si="55"/>
        <v>-207060.42550812589</v>
      </c>
    </row>
    <row r="317" spans="1:21">
      <c r="A317">
        <v>12</v>
      </c>
      <c r="B317" s="11">
        <f t="shared" ref="B317:I325" si="56">B$306/((1+$B$173)^$A317)</f>
        <v>-155292.15909571279</v>
      </c>
      <c r="C317" s="11">
        <f t="shared" si="56"/>
        <v>-155292.81551339291</v>
      </c>
      <c r="D317" s="11">
        <f t="shared" si="56"/>
        <v>-155292.18763561189</v>
      </c>
      <c r="E317" s="11">
        <f t="shared" si="56"/>
        <v>-157499.84586957714</v>
      </c>
      <c r="F317" s="11">
        <f t="shared" si="56"/>
        <v>-157500.08560472992</v>
      </c>
      <c r="G317" s="11">
        <f t="shared" si="56"/>
        <v>-163513.77341589259</v>
      </c>
      <c r="H317" s="11">
        <f t="shared" si="56"/>
        <v>-160644.84001092493</v>
      </c>
      <c r="I317" s="11">
        <f t="shared" si="56"/>
        <v>-160645.0512061785</v>
      </c>
      <c r="J317" s="11">
        <f t="shared" ref="J317:U325" si="57">J$306/((1+$B$173)^$A317)</f>
        <v>-163179.53124113029</v>
      </c>
      <c r="K317" s="11">
        <f t="shared" si="57"/>
        <v>-163179.60538778821</v>
      </c>
      <c r="L317" s="11">
        <f t="shared" si="57"/>
        <v>-171635.96043545622</v>
      </c>
      <c r="M317" s="11">
        <f t="shared" si="57"/>
        <v>-166304.06798277609</v>
      </c>
      <c r="N317" s="11">
        <f t="shared" si="57"/>
        <v>-166303.96523913913</v>
      </c>
      <c r="O317" s="11">
        <f t="shared" si="57"/>
        <v>-174097.40686851434</v>
      </c>
      <c r="P317" s="11">
        <f t="shared" si="57"/>
        <v>-181984.38516332372</v>
      </c>
      <c r="Q317" s="11">
        <f t="shared" si="57"/>
        <v>-198665.58519067414</v>
      </c>
      <c r="R317" s="11">
        <f t="shared" si="57"/>
        <v>-198469.68732299234</v>
      </c>
      <c r="S317" s="11">
        <f t="shared" si="57"/>
        <v>-199527.29607332137</v>
      </c>
      <c r="T317" s="11">
        <f t="shared" si="57"/>
        <v>-199051.56449459348</v>
      </c>
      <c r="U317" s="11">
        <f t="shared" si="57"/>
        <v>-201029.53932827758</v>
      </c>
    </row>
    <row r="318" spans="1:21">
      <c r="A318">
        <v>13</v>
      </c>
      <c r="B318" s="11">
        <f t="shared" si="56"/>
        <v>-150769.08650069204</v>
      </c>
      <c r="C318" s="11">
        <f t="shared" si="56"/>
        <v>-150769.7237994106</v>
      </c>
      <c r="D318" s="11">
        <f t="shared" si="56"/>
        <v>-150769.11420933192</v>
      </c>
      <c r="E318" s="11">
        <f t="shared" si="56"/>
        <v>-152912.47171803607</v>
      </c>
      <c r="F318" s="11">
        <f t="shared" si="56"/>
        <v>-152912.70447061156</v>
      </c>
      <c r="G318" s="11">
        <f t="shared" si="56"/>
        <v>-158751.23632610933</v>
      </c>
      <c r="H318" s="11">
        <f t="shared" si="56"/>
        <v>-155965.86408827663</v>
      </c>
      <c r="I318" s="11">
        <f t="shared" si="56"/>
        <v>-155966.06913221214</v>
      </c>
      <c r="J318" s="11">
        <f t="shared" si="57"/>
        <v>-158426.72936032069</v>
      </c>
      <c r="K318" s="11">
        <f t="shared" si="57"/>
        <v>-158426.8013473672</v>
      </c>
      <c r="L318" s="11">
        <f t="shared" si="57"/>
        <v>-166636.85479170506</v>
      </c>
      <c r="M318" s="11">
        <f t="shared" si="57"/>
        <v>-161460.26017745252</v>
      </c>
      <c r="N318" s="11">
        <f t="shared" si="57"/>
        <v>-161460.16042634868</v>
      </c>
      <c r="O318" s="11">
        <f t="shared" si="57"/>
        <v>-169026.60861020812</v>
      </c>
      <c r="P318" s="11">
        <f t="shared" si="57"/>
        <v>-176683.86909060559</v>
      </c>
      <c r="Q318" s="11">
        <f t="shared" si="57"/>
        <v>-192879.2089229846</v>
      </c>
      <c r="R318" s="11">
        <f t="shared" si="57"/>
        <v>-192689.01681843918</v>
      </c>
      <c r="S318" s="11">
        <f t="shared" si="57"/>
        <v>-193715.82143040912</v>
      </c>
      <c r="T318" s="11">
        <f t="shared" si="57"/>
        <v>-193253.94611125579</v>
      </c>
      <c r="U318" s="11">
        <f t="shared" si="57"/>
        <v>-195174.31002745399</v>
      </c>
    </row>
    <row r="319" spans="1:21">
      <c r="A319">
        <v>14</v>
      </c>
      <c r="B319" s="11">
        <f t="shared" si="56"/>
        <v>-146377.753884167</v>
      </c>
      <c r="C319" s="11">
        <f t="shared" si="56"/>
        <v>-146378.37262078698</v>
      </c>
      <c r="D319" s="11">
        <f t="shared" si="56"/>
        <v>-146377.78078575915</v>
      </c>
      <c r="E319" s="11">
        <f t="shared" si="56"/>
        <v>-148458.71040586024</v>
      </c>
      <c r="F319" s="11">
        <f t="shared" si="56"/>
        <v>-148458.93637923451</v>
      </c>
      <c r="G319" s="11">
        <f t="shared" si="56"/>
        <v>-154127.413908844</v>
      </c>
      <c r="H319" s="11">
        <f t="shared" si="56"/>
        <v>-151423.16901774428</v>
      </c>
      <c r="I319" s="11">
        <f t="shared" si="56"/>
        <v>-151423.36808952634</v>
      </c>
      <c r="J319" s="11">
        <f t="shared" si="57"/>
        <v>-153812.35860225308</v>
      </c>
      <c r="K319" s="11">
        <f t="shared" si="57"/>
        <v>-153812.4284925895</v>
      </c>
      <c r="L319" s="11">
        <f t="shared" si="57"/>
        <v>-161783.35416670394</v>
      </c>
      <c r="M319" s="11">
        <f t="shared" si="57"/>
        <v>-156757.53415286652</v>
      </c>
      <c r="N319" s="11">
        <f t="shared" si="57"/>
        <v>-156757.43730713462</v>
      </c>
      <c r="O319" s="11">
        <f t="shared" si="57"/>
        <v>-164103.5035050564</v>
      </c>
      <c r="P319" s="11">
        <f t="shared" si="57"/>
        <v>-171537.73698117043</v>
      </c>
      <c r="Q319" s="11">
        <f t="shared" si="57"/>
        <v>-187261.36788639281</v>
      </c>
      <c r="R319" s="11">
        <f t="shared" si="57"/>
        <v>-187076.71535770793</v>
      </c>
      <c r="S319" s="11">
        <f t="shared" si="57"/>
        <v>-188073.61303923212</v>
      </c>
      <c r="T319" s="11">
        <f t="shared" si="57"/>
        <v>-187625.19039927746</v>
      </c>
      <c r="U319" s="11">
        <f t="shared" si="57"/>
        <v>-189489.62138587763</v>
      </c>
    </row>
    <row r="320" spans="1:21">
      <c r="A320">
        <v>15</v>
      </c>
      <c r="B320" s="11">
        <f t="shared" si="56"/>
        <v>-142114.32415938543</v>
      </c>
      <c r="C320" s="11">
        <f t="shared" si="56"/>
        <v>-142114.92487455046</v>
      </c>
      <c r="D320" s="11">
        <f t="shared" si="56"/>
        <v>-142114.35027743605</v>
      </c>
      <c r="E320" s="11">
        <f t="shared" si="56"/>
        <v>-144134.67029695169</v>
      </c>
      <c r="F320" s="11">
        <f t="shared" si="56"/>
        <v>-144134.88968857718</v>
      </c>
      <c r="G320" s="11">
        <f t="shared" si="56"/>
        <v>-149638.26593091647</v>
      </c>
      <c r="H320" s="11">
        <f t="shared" si="56"/>
        <v>-147012.78545412066</v>
      </c>
      <c r="I320" s="11">
        <f t="shared" si="56"/>
        <v>-147012.97872769547</v>
      </c>
      <c r="J320" s="11">
        <f t="shared" si="57"/>
        <v>-149332.38699247871</v>
      </c>
      <c r="K320" s="11">
        <f t="shared" si="57"/>
        <v>-149332.45484717426</v>
      </c>
      <c r="L320" s="11">
        <f t="shared" si="57"/>
        <v>-157071.21763757663</v>
      </c>
      <c r="M320" s="11">
        <f t="shared" si="57"/>
        <v>-152191.78073093834</v>
      </c>
      <c r="N320" s="11">
        <f t="shared" si="57"/>
        <v>-152191.68670595594</v>
      </c>
      <c r="O320" s="11">
        <f t="shared" si="57"/>
        <v>-159323.78981073436</v>
      </c>
      <c r="P320" s="11">
        <f t="shared" si="57"/>
        <v>-166541.49221472858</v>
      </c>
      <c r="Q320" s="11">
        <f t="shared" si="57"/>
        <v>-181807.15328776001</v>
      </c>
      <c r="R320" s="11">
        <f t="shared" si="57"/>
        <v>-181627.87898806593</v>
      </c>
      <c r="S320" s="11">
        <f t="shared" si="57"/>
        <v>-182595.74081478847</v>
      </c>
      <c r="T320" s="11">
        <f t="shared" si="57"/>
        <v>-182160.37902842471</v>
      </c>
      <c r="U320" s="11">
        <f t="shared" si="57"/>
        <v>-183970.50619988117</v>
      </c>
    </row>
    <row r="321" spans="1:21">
      <c r="A321">
        <v>16</v>
      </c>
      <c r="B321" s="11">
        <f t="shared" si="56"/>
        <v>-137975.07199940336</v>
      </c>
      <c r="C321" s="11">
        <f t="shared" si="56"/>
        <v>-137975.65521801019</v>
      </c>
      <c r="D321" s="11">
        <f t="shared" si="56"/>
        <v>-137975.09735673404</v>
      </c>
      <c r="E321" s="11">
        <f t="shared" si="56"/>
        <v>-139936.57310383662</v>
      </c>
      <c r="F321" s="11">
        <f t="shared" si="56"/>
        <v>-139936.78610541477</v>
      </c>
      <c r="G321" s="11">
        <f t="shared" si="56"/>
        <v>-145279.86983584127</v>
      </c>
      <c r="H321" s="11">
        <f t="shared" si="56"/>
        <v>-142730.85966419484</v>
      </c>
      <c r="I321" s="11">
        <f t="shared" si="56"/>
        <v>-142731.04730844224</v>
      </c>
      <c r="J321" s="11">
        <f t="shared" si="57"/>
        <v>-144982.89999269778</v>
      </c>
      <c r="K321" s="11">
        <f t="shared" si="57"/>
        <v>-144982.96587104298</v>
      </c>
      <c r="L321" s="11">
        <f t="shared" si="57"/>
        <v>-152496.32780347246</v>
      </c>
      <c r="M321" s="11">
        <f t="shared" si="57"/>
        <v>-147759.01041838678</v>
      </c>
      <c r="N321" s="11">
        <f t="shared" si="57"/>
        <v>-147758.91913199608</v>
      </c>
      <c r="O321" s="11">
        <f t="shared" si="57"/>
        <v>-154683.2910783829</v>
      </c>
      <c r="P321" s="11">
        <f t="shared" si="57"/>
        <v>-161690.76914051321</v>
      </c>
      <c r="Q321" s="11">
        <f t="shared" si="57"/>
        <v>-176511.79930850488</v>
      </c>
      <c r="R321" s="11">
        <f t="shared" si="57"/>
        <v>-176337.74659035529</v>
      </c>
      <c r="S321" s="11">
        <f t="shared" si="57"/>
        <v>-177277.41826678495</v>
      </c>
      <c r="T321" s="11">
        <f t="shared" si="57"/>
        <v>-176854.73692080073</v>
      </c>
      <c r="U321" s="11">
        <f t="shared" si="57"/>
        <v>-178612.14194163223</v>
      </c>
    </row>
    <row r="322" spans="1:21">
      <c r="A322">
        <v>17</v>
      </c>
      <c r="B322" s="11">
        <f t="shared" si="56"/>
        <v>-133956.38058194501</v>
      </c>
      <c r="C322" s="11">
        <f t="shared" si="56"/>
        <v>-133956.94681360212</v>
      </c>
      <c r="D322" s="11">
        <f t="shared" si="56"/>
        <v>-133956.40520071267</v>
      </c>
      <c r="E322" s="11">
        <f t="shared" si="56"/>
        <v>-135860.75058624914</v>
      </c>
      <c r="F322" s="11">
        <f t="shared" si="56"/>
        <v>-135860.95738389782</v>
      </c>
      <c r="G322" s="11">
        <f t="shared" si="56"/>
        <v>-141048.41731635077</v>
      </c>
      <c r="H322" s="11">
        <f t="shared" si="56"/>
        <v>-138573.65015941247</v>
      </c>
      <c r="I322" s="11">
        <f t="shared" si="56"/>
        <v>-138573.83233829343</v>
      </c>
      <c r="J322" s="11">
        <f t="shared" si="57"/>
        <v>-140760.09708028912</v>
      </c>
      <c r="K322" s="11">
        <f t="shared" si="57"/>
        <v>-140760.16103984756</v>
      </c>
      <c r="L322" s="11">
        <f t="shared" si="57"/>
        <v>-148054.68718783735</v>
      </c>
      <c r="M322" s="11">
        <f t="shared" si="57"/>
        <v>-143455.34992076384</v>
      </c>
      <c r="N322" s="11">
        <f t="shared" si="57"/>
        <v>-143455.26129320008</v>
      </c>
      <c r="O322" s="11">
        <f t="shared" si="57"/>
        <v>-150177.95250328438</v>
      </c>
      <c r="P322" s="11">
        <f t="shared" si="57"/>
        <v>-156981.32926263419</v>
      </c>
      <c r="Q322" s="11">
        <f t="shared" si="57"/>
        <v>-171370.678940296</v>
      </c>
      <c r="R322" s="11">
        <f t="shared" si="57"/>
        <v>-171201.69571879157</v>
      </c>
      <c r="S322" s="11">
        <f t="shared" si="57"/>
        <v>-172113.99831726693</v>
      </c>
      <c r="T322" s="11">
        <f t="shared" si="57"/>
        <v>-171703.62807844731</v>
      </c>
      <c r="U322" s="11">
        <f t="shared" si="57"/>
        <v>-173409.84654527402</v>
      </c>
    </row>
    <row r="323" spans="1:21">
      <c r="A323">
        <v>18</v>
      </c>
      <c r="B323" s="11">
        <f t="shared" si="56"/>
        <v>-130054.73842907281</v>
      </c>
      <c r="C323" s="11">
        <f t="shared" si="56"/>
        <v>-130055.28816854574</v>
      </c>
      <c r="D323" s="11">
        <f t="shared" si="56"/>
        <v>-130054.762330789</v>
      </c>
      <c r="E323" s="11">
        <f t="shared" si="56"/>
        <v>-131903.64134587295</v>
      </c>
      <c r="F323" s="11">
        <f t="shared" si="56"/>
        <v>-131903.84212028916</v>
      </c>
      <c r="G323" s="11">
        <f t="shared" si="56"/>
        <v>-136940.21098674831</v>
      </c>
      <c r="H323" s="11">
        <f t="shared" si="56"/>
        <v>-134537.52442661405</v>
      </c>
      <c r="I323" s="11">
        <f t="shared" si="56"/>
        <v>-134537.70129931401</v>
      </c>
      <c r="J323" s="11">
        <f t="shared" si="57"/>
        <v>-136660.28842746516</v>
      </c>
      <c r="K323" s="11">
        <f t="shared" si="57"/>
        <v>-136660.35052412385</v>
      </c>
      <c r="L323" s="11">
        <f t="shared" si="57"/>
        <v>-143742.41474547316</v>
      </c>
      <c r="M323" s="11">
        <f t="shared" si="57"/>
        <v>-139277.03875802315</v>
      </c>
      <c r="N323" s="11">
        <f t="shared" si="57"/>
        <v>-139276.95271184473</v>
      </c>
      <c r="O323" s="11">
        <f t="shared" si="57"/>
        <v>-145803.83738182948</v>
      </c>
      <c r="P323" s="11">
        <f t="shared" si="57"/>
        <v>-152409.05753653805</v>
      </c>
      <c r="Q323" s="11">
        <f t="shared" si="57"/>
        <v>-166379.29994203497</v>
      </c>
      <c r="R323" s="11">
        <f t="shared" si="57"/>
        <v>-166215.23856193354</v>
      </c>
      <c r="S323" s="11">
        <f t="shared" si="57"/>
        <v>-167100.96924006499</v>
      </c>
      <c r="T323" s="11">
        <f t="shared" si="57"/>
        <v>-166702.55153247309</v>
      </c>
      <c r="U323" s="11">
        <f t="shared" si="57"/>
        <v>-168359.07431580001</v>
      </c>
    </row>
    <row r="324" spans="1:21">
      <c r="A324">
        <v>19</v>
      </c>
      <c r="B324" s="11">
        <f t="shared" si="56"/>
        <v>-126266.73633890566</v>
      </c>
      <c r="C324" s="11">
        <f t="shared" si="56"/>
        <v>-126267.27006654927</v>
      </c>
      <c r="D324" s="11">
        <f t="shared" si="56"/>
        <v>-126266.75954445534</v>
      </c>
      <c r="E324" s="11">
        <f t="shared" si="56"/>
        <v>-128061.78771443976</v>
      </c>
      <c r="F324" s="11">
        <f t="shared" si="56"/>
        <v>-128061.98264105743</v>
      </c>
      <c r="G324" s="11">
        <f t="shared" si="56"/>
        <v>-132951.66115218282</v>
      </c>
      <c r="H324" s="11">
        <f t="shared" si="56"/>
        <v>-130618.95575399422</v>
      </c>
      <c r="I324" s="11">
        <f t="shared" si="56"/>
        <v>-130619.12747506215</v>
      </c>
      <c r="J324" s="11">
        <f t="shared" si="57"/>
        <v>-132679.89167715065</v>
      </c>
      <c r="K324" s="11">
        <f t="shared" si="57"/>
        <v>-132679.95196516879</v>
      </c>
      <c r="L324" s="11">
        <f t="shared" si="57"/>
        <v>-139555.74247133316</v>
      </c>
      <c r="M324" s="11">
        <f t="shared" si="57"/>
        <v>-135220.42597866326</v>
      </c>
      <c r="N324" s="11">
        <f t="shared" si="57"/>
        <v>-135220.34243868422</v>
      </c>
      <c r="O324" s="11">
        <f t="shared" si="57"/>
        <v>-141557.12367167912</v>
      </c>
      <c r="P324" s="11">
        <f t="shared" si="57"/>
        <v>-147969.95877333792</v>
      </c>
      <c r="Q324" s="11">
        <f t="shared" si="57"/>
        <v>-161533.30091459706</v>
      </c>
      <c r="R324" s="11">
        <f t="shared" si="57"/>
        <v>-161374.0180212947</v>
      </c>
      <c r="S324" s="11">
        <f t="shared" si="57"/>
        <v>-162233.9507185097</v>
      </c>
      <c r="T324" s="11">
        <f t="shared" si="57"/>
        <v>-161847.13741016807</v>
      </c>
      <c r="U324" s="11">
        <f t="shared" si="57"/>
        <v>-163455.4119570874</v>
      </c>
    </row>
    <row r="325" spans="1:21">
      <c r="A325">
        <v>20</v>
      </c>
      <c r="B325" s="11">
        <f t="shared" si="56"/>
        <v>-122589.06440670452</v>
      </c>
      <c r="C325" s="11">
        <f t="shared" si="56"/>
        <v>-122589.58258888278</v>
      </c>
      <c r="D325" s="11">
        <f t="shared" si="56"/>
        <v>-122589.08693636442</v>
      </c>
      <c r="E325" s="11">
        <f t="shared" si="56"/>
        <v>-124331.8327324658</v>
      </c>
      <c r="F325" s="11">
        <f t="shared" si="56"/>
        <v>-124332.02198160917</v>
      </c>
      <c r="G325" s="11">
        <f t="shared" si="56"/>
        <v>-129079.28267202216</v>
      </c>
      <c r="H325" s="11">
        <f t="shared" si="56"/>
        <v>-126814.52014950896</v>
      </c>
      <c r="I325" s="11">
        <f t="shared" si="56"/>
        <v>-126814.68686899237</v>
      </c>
      <c r="J325" s="11">
        <f t="shared" si="57"/>
        <v>-128815.42881276763</v>
      </c>
      <c r="K325" s="11">
        <f t="shared" si="57"/>
        <v>-128815.48734482407</v>
      </c>
      <c r="L325" s="11">
        <f t="shared" si="57"/>
        <v>-135491.01210809045</v>
      </c>
      <c r="M325" s="11">
        <f t="shared" si="57"/>
        <v>-131281.96696957599</v>
      </c>
      <c r="N325" s="11">
        <f t="shared" si="57"/>
        <v>-131281.88586280021</v>
      </c>
      <c r="O325" s="11">
        <f t="shared" si="57"/>
        <v>-137434.10065211565</v>
      </c>
      <c r="P325" s="11">
        <f t="shared" si="57"/>
        <v>-143660.15414887175</v>
      </c>
      <c r="Q325" s="11">
        <f t="shared" si="57"/>
        <v>-156828.44748990005</v>
      </c>
      <c r="R325" s="11">
        <f t="shared" si="57"/>
        <v>-156673.80390416962</v>
      </c>
      <c r="S325" s="11">
        <f t="shared" si="57"/>
        <v>-157508.6900179706</v>
      </c>
      <c r="T325" s="11">
        <f t="shared" si="57"/>
        <v>-157133.14311666801</v>
      </c>
      <c r="U325" s="11">
        <f t="shared" si="57"/>
        <v>-158694.57471561883</v>
      </c>
    </row>
    <row r="327" spans="1:21">
      <c r="A327" t="s">
        <v>226</v>
      </c>
      <c r="B327" s="11">
        <f>SUM(B306:B325)</f>
        <v>-3300462.8888562419</v>
      </c>
      <c r="C327" s="11">
        <f t="shared" ref="C327:U327" si="58">SUM(C306:C325)</f>
        <v>-3300476.8398644929</v>
      </c>
      <c r="D327" s="11">
        <f t="shared" si="58"/>
        <v>-3300463.4954218171</v>
      </c>
      <c r="E327" s="11">
        <f t="shared" si="58"/>
        <v>-3347383.4050612301</v>
      </c>
      <c r="F327" s="11">
        <f t="shared" si="58"/>
        <v>-3347388.5002120701</v>
      </c>
      <c r="G327" s="11">
        <f t="shared" si="58"/>
        <v>-3475198.9032709678</v>
      </c>
      <c r="H327" s="11">
        <f t="shared" si="58"/>
        <v>-3414224.7479186705</v>
      </c>
      <c r="I327" s="11">
        <f t="shared" si="58"/>
        <v>-3414229.2365039331</v>
      </c>
      <c r="J327" s="11">
        <f t="shared" si="58"/>
        <v>-3468095.1711822562</v>
      </c>
      <c r="K327" s="11">
        <f t="shared" si="58"/>
        <v>-3468096.7470396217</v>
      </c>
      <c r="L327" s="11">
        <f t="shared" si="58"/>
        <v>-3647821.7645314476</v>
      </c>
      <c r="M327" s="11">
        <f t="shared" si="58"/>
        <v>-3534501.7278347001</v>
      </c>
      <c r="N327" s="11">
        <f t="shared" si="58"/>
        <v>-3534499.5441986243</v>
      </c>
      <c r="O327" s="11">
        <f t="shared" si="58"/>
        <v>-3700135.4979003612</v>
      </c>
      <c r="P327" s="11">
        <f t="shared" si="58"/>
        <v>-3867759.409621424</v>
      </c>
      <c r="Q327" s="11">
        <f t="shared" si="58"/>
        <v>-4222289.103538068</v>
      </c>
      <c r="R327" s="11">
        <f t="shared" si="58"/>
        <v>-4218125.6374232639</v>
      </c>
      <c r="S327" s="11">
        <f t="shared" si="58"/>
        <v>-4240603.2592923697</v>
      </c>
      <c r="T327" s="11">
        <f t="shared" si="58"/>
        <v>-4230492.4177032541</v>
      </c>
      <c r="U327" s="11">
        <f t="shared" si="58"/>
        <v>-4272530.8088987963</v>
      </c>
    </row>
    <row r="329" spans="1:21">
      <c r="A329" t="s">
        <v>227</v>
      </c>
      <c r="B329" s="11">
        <f t="shared" ref="B329:P329" si="59">B327+B302+B223+$B$220+$B$219+B277+B249+B250+B225</f>
        <v>-21005872.473430894</v>
      </c>
      <c r="C329" s="11">
        <f t="shared" si="59"/>
        <v>-21119109.073019382</v>
      </c>
      <c r="D329" s="11">
        <f t="shared" si="59"/>
        <v>-21094967.086440168</v>
      </c>
      <c r="E329" s="11">
        <f t="shared" si="59"/>
        <v>-21192324.792622589</v>
      </c>
      <c r="F329" s="11">
        <f t="shared" si="59"/>
        <v>-21267433.289808743</v>
      </c>
      <c r="G329" s="11">
        <f t="shared" si="59"/>
        <v>-19840961.100802816</v>
      </c>
      <c r="H329" s="11">
        <f t="shared" si="59"/>
        <v>-21475452.475016862</v>
      </c>
      <c r="I329" s="11">
        <f t="shared" si="59"/>
        <v>-21612116.107343264</v>
      </c>
      <c r="J329" s="11">
        <f t="shared" si="59"/>
        <v>-21884703.516403541</v>
      </c>
      <c r="K329" s="11">
        <f t="shared" si="59"/>
        <v>-21987738.846907888</v>
      </c>
      <c r="L329" s="11">
        <f t="shared" si="59"/>
        <v>-21058585.584073123</v>
      </c>
      <c r="M329" s="11">
        <f t="shared" si="59"/>
        <v>-23046652.249125358</v>
      </c>
      <c r="N329" s="11">
        <f t="shared" si="59"/>
        <v>-23243979.274394903</v>
      </c>
      <c r="O329" s="11">
        <f t="shared" si="59"/>
        <v>-22438468.88925888</v>
      </c>
      <c r="P329" s="11">
        <f t="shared" si="59"/>
        <v>-21891211.198271163</v>
      </c>
      <c r="Q329" s="11">
        <f>Q327+Q302+Q223+$B$220+$B$219+Q277+Q249+Q250+Q225</f>
        <v>-18663205.145116556</v>
      </c>
      <c r="R329" s="11">
        <f>R327+R302+R223+$B$220+$B$219+R277+R249+R250+R225</f>
        <v>-18758813.577604283</v>
      </c>
      <c r="S329" s="11">
        <f>S327+S302+S223+$B$220+$B$219+S277+S249+S250+S225</f>
        <v>-19449310.497102316</v>
      </c>
      <c r="T329" s="11">
        <f>T327+T302+T223+$B$220+$B$219+T277+T249+T250+T225</f>
        <v>-19589401.322243407</v>
      </c>
      <c r="U329" s="11">
        <f>U327+U302+U223+$B$220+$B$219+U277+U249+U250+U225</f>
        <v>-20985676.388224579</v>
      </c>
    </row>
    <row r="330" spans="1:21">
      <c r="A330" t="s">
        <v>233</v>
      </c>
      <c r="B330" s="11">
        <f>B329-$B$184</f>
        <v>-21162881535.262913</v>
      </c>
      <c r="C330" s="11">
        <f t="shared" ref="C330:U330" si="60">C329-$B$184</f>
        <v>-21162994771.862503</v>
      </c>
      <c r="D330" s="11">
        <f t="shared" si="60"/>
        <v>-21162970629.875923</v>
      </c>
      <c r="E330" s="11">
        <f t="shared" si="60"/>
        <v>-21163067987.582104</v>
      </c>
      <c r="F330" s="11">
        <f t="shared" si="60"/>
        <v>-21163143096.079292</v>
      </c>
      <c r="G330" s="11">
        <f t="shared" si="60"/>
        <v>-21161716623.890285</v>
      </c>
      <c r="H330" s="11">
        <f t="shared" si="60"/>
        <v>-21163351115.2645</v>
      </c>
      <c r="I330" s="11">
        <f t="shared" si="60"/>
        <v>-21163487778.896824</v>
      </c>
      <c r="J330" s="11">
        <f t="shared" si="60"/>
        <v>-21163760366.305885</v>
      </c>
      <c r="K330" s="11">
        <f t="shared" si="60"/>
        <v>-21163863401.636391</v>
      </c>
      <c r="L330" s="11">
        <f t="shared" si="60"/>
        <v>-21162934248.373554</v>
      </c>
      <c r="M330" s="11">
        <f t="shared" si="60"/>
        <v>-21164922315.038609</v>
      </c>
      <c r="N330" s="11">
        <f t="shared" si="60"/>
        <v>-21165119642.063877</v>
      </c>
      <c r="O330" s="11">
        <f t="shared" si="60"/>
        <v>-21164314131.678741</v>
      </c>
      <c r="P330" s="11">
        <f t="shared" si="60"/>
        <v>-21163766873.987755</v>
      </c>
      <c r="Q330" s="11">
        <f t="shared" si="60"/>
        <v>-21160538867.934597</v>
      </c>
      <c r="R330" s="11">
        <f t="shared" si="60"/>
        <v>-21160634476.367085</v>
      </c>
      <c r="S330" s="11">
        <f t="shared" si="60"/>
        <v>-21161324973.286583</v>
      </c>
      <c r="T330" s="11">
        <f t="shared" si="60"/>
        <v>-21161465064.111725</v>
      </c>
      <c r="U330" s="11">
        <f t="shared" si="60"/>
        <v>-21162861339.177708</v>
      </c>
    </row>
    <row r="331" spans="1:21">
      <c r="A331" t="s">
        <v>230</v>
      </c>
      <c r="B331" s="9">
        <f t="shared" ref="B331:P331" si="61">1-B244/$B$180</f>
        <v>0.25648697654896979</v>
      </c>
      <c r="C331" s="9">
        <f t="shared" si="61"/>
        <v>0.25648634705614692</v>
      </c>
      <c r="D331" s="9">
        <f t="shared" si="61"/>
        <v>0.25648694917971659</v>
      </c>
      <c r="E331" s="9">
        <f t="shared" si="61"/>
        <v>0.28497031169111053</v>
      </c>
      <c r="F331" s="9">
        <f t="shared" si="61"/>
        <v>0.28544085820937959</v>
      </c>
      <c r="G331" s="9">
        <f t="shared" si="61"/>
        <v>0.34558253788206494</v>
      </c>
      <c r="H331" s="9">
        <f t="shared" si="61"/>
        <v>0.31537944434054321</v>
      </c>
      <c r="I331" s="9">
        <f t="shared" si="61"/>
        <v>0.31537924180806987</v>
      </c>
      <c r="J331" s="9">
        <f t="shared" si="61"/>
        <v>0.33837064743373346</v>
      </c>
      <c r="K331" s="9">
        <f t="shared" si="61"/>
        <v>0.33884135274840943</v>
      </c>
      <c r="L331" s="9">
        <f t="shared" si="61"/>
        <v>0.41970860277949595</v>
      </c>
      <c r="M331" s="9">
        <f t="shared" si="61"/>
        <v>0.3655039634238697</v>
      </c>
      <c r="N331" s="9">
        <f t="shared" si="61"/>
        <v>0.36550406195318119</v>
      </c>
      <c r="O331" s="9">
        <f t="shared" si="61"/>
        <v>0.43947461138405675</v>
      </c>
      <c r="P331" s="9">
        <f t="shared" si="61"/>
        <v>0.50770614378463597</v>
      </c>
      <c r="Q331" s="9">
        <f>1-Q244/$B$180</f>
        <v>0.64094529624442498</v>
      </c>
      <c r="R331" s="9">
        <f>1-R244/$B$180</f>
        <v>0.64019160595820757</v>
      </c>
      <c r="S331" s="9">
        <f>1-S244/$B$180</f>
        <v>0.64623902436949043</v>
      </c>
      <c r="T331" s="9">
        <f>1-T244/$B$180</f>
        <v>0.64292903109065203</v>
      </c>
      <c r="U331" s="9">
        <f>1-U244/$B$180</f>
        <v>0.65703858685785566</v>
      </c>
    </row>
    <row r="333" spans="1:21">
      <c r="A333" t="s">
        <v>236</v>
      </c>
      <c r="B333" s="40" t="s">
        <v>161</v>
      </c>
    </row>
    <row r="334" spans="1:21">
      <c r="A334" s="10" t="s">
        <v>237</v>
      </c>
      <c r="B334" s="12">
        <f>B302+B277+B223+B250+B249-$B$182-$B$181</f>
        <v>1806858.6998069705</v>
      </c>
      <c r="C334" s="12">
        <f t="shared" ref="C334:U334" si="62">C302+C277+C223+C250+C249-$B$182-$B$181</f>
        <v>1693636.051226736</v>
      </c>
      <c r="D334" s="12">
        <f t="shared" si="62"/>
        <v>1717764.6933632689</v>
      </c>
      <c r="E334" s="12">
        <f t="shared" si="62"/>
        <v>1667326.896820263</v>
      </c>
      <c r="F334" s="12">
        <f t="shared" si="62"/>
        <v>1592223.4947849466</v>
      </c>
      <c r="G334" s="12">
        <f t="shared" si="62"/>
        <v>3146506.0868497742</v>
      </c>
      <c r="H334" s="12">
        <f t="shared" si="62"/>
        <v>1451040.5572834322</v>
      </c>
      <c r="I334" s="12">
        <f t="shared" si="62"/>
        <v>1314381.4135422902</v>
      </c>
      <c r="J334" s="12">
        <f t="shared" si="62"/>
        <v>1095659.9391603349</v>
      </c>
      <c r="K334" s="12">
        <f t="shared" si="62"/>
        <v>992626.18451335188</v>
      </c>
      <c r="L334" s="12">
        <f t="shared" si="62"/>
        <v>2101504.4648399418</v>
      </c>
      <c r="M334" s="12">
        <f t="shared" si="62"/>
        <v>117.76309096161276</v>
      </c>
      <c r="N334" s="12">
        <f t="shared" si="62"/>
        <v>-197211.44581465703</v>
      </c>
      <c r="O334" s="12">
        <f t="shared" si="62"/>
        <v>773934.89302310441</v>
      </c>
      <c r="P334" s="12">
        <f t="shared" si="62"/>
        <v>1488816.49573188</v>
      </c>
      <c r="Q334" s="12">
        <f t="shared" si="62"/>
        <v>5071352.242803135</v>
      </c>
      <c r="R334" s="12">
        <f t="shared" si="62"/>
        <v>4971580.3442006009</v>
      </c>
      <c r="S334" s="12">
        <f t="shared" si="62"/>
        <v>4303561.0465716729</v>
      </c>
      <c r="T334" s="12">
        <f t="shared" si="62"/>
        <v>4153359.3798414664</v>
      </c>
      <c r="U334" s="12">
        <f t="shared" si="62"/>
        <v>2799122.7050558394</v>
      </c>
    </row>
    <row r="335" spans="1:21">
      <c r="A335" s="10" t="s">
        <v>238</v>
      </c>
      <c r="B335" s="12">
        <f t="shared" ref="B335:U335" si="63">B327+B225+$B$220-$B$183</f>
        <v>511955.26876968704</v>
      </c>
      <c r="C335" s="12">
        <f t="shared" si="63"/>
        <v>511941.3177614361</v>
      </c>
      <c r="D335" s="12">
        <f t="shared" si="63"/>
        <v>511954.66220411099</v>
      </c>
      <c r="E335" s="12">
        <f t="shared" si="63"/>
        <v>465034.75256469846</v>
      </c>
      <c r="F335" s="12">
        <f t="shared" si="63"/>
        <v>465029.65741385892</v>
      </c>
      <c r="G335" s="12">
        <f t="shared" si="63"/>
        <v>337219.25435496122</v>
      </c>
      <c r="H335" s="12">
        <f t="shared" si="63"/>
        <v>398193.40970725752</v>
      </c>
      <c r="I335" s="12">
        <f t="shared" si="63"/>
        <v>398188.9211219959</v>
      </c>
      <c r="J335" s="12">
        <f t="shared" si="63"/>
        <v>344322.98644367233</v>
      </c>
      <c r="K335" s="12">
        <f t="shared" si="63"/>
        <v>344321.41058630683</v>
      </c>
      <c r="L335" s="12">
        <f t="shared" si="63"/>
        <v>164596.39309448097</v>
      </c>
      <c r="M335" s="12">
        <f t="shared" si="63"/>
        <v>277916.42979122885</v>
      </c>
      <c r="N335" s="12">
        <f t="shared" si="63"/>
        <v>277918.61342730373</v>
      </c>
      <c r="O335" s="12">
        <f t="shared" si="63"/>
        <v>112282.65972556733</v>
      </c>
      <c r="P335" s="12">
        <f t="shared" si="63"/>
        <v>-55341.251995495521</v>
      </c>
      <c r="Q335" s="12">
        <f t="shared" si="63"/>
        <v>-409870.94591213949</v>
      </c>
      <c r="R335" s="12">
        <f t="shared" si="63"/>
        <v>-405707.47979733534</v>
      </c>
      <c r="S335" s="12">
        <f t="shared" si="63"/>
        <v>-428185.10166644119</v>
      </c>
      <c r="T335" s="12">
        <f t="shared" si="63"/>
        <v>-418074.26007732563</v>
      </c>
      <c r="U335" s="12">
        <f t="shared" si="63"/>
        <v>-460112.65127286781</v>
      </c>
    </row>
    <row r="336" spans="1:21">
      <c r="A336" s="10" t="s">
        <v>239</v>
      </c>
      <c r="B336" s="12">
        <f>B334+B335</f>
        <v>2318813.9685766576</v>
      </c>
      <c r="C336" s="12">
        <f t="shared" ref="C336:U336" si="64">C334+C335</f>
        <v>2205577.3689881722</v>
      </c>
      <c r="D336" s="12">
        <f t="shared" si="64"/>
        <v>2229719.3555673799</v>
      </c>
      <c r="E336" s="12">
        <f t="shared" si="64"/>
        <v>2132361.6493849615</v>
      </c>
      <c r="F336" s="12">
        <f t="shared" si="64"/>
        <v>2057253.1521988055</v>
      </c>
      <c r="G336" s="12">
        <f t="shared" si="64"/>
        <v>3483725.3412047355</v>
      </c>
      <c r="H336" s="12">
        <f t="shared" si="64"/>
        <v>1849233.9669906897</v>
      </c>
      <c r="I336" s="12">
        <f t="shared" si="64"/>
        <v>1712570.3346642861</v>
      </c>
      <c r="J336" s="12">
        <f t="shared" si="64"/>
        <v>1439982.9256040072</v>
      </c>
      <c r="K336" s="12">
        <f t="shared" si="64"/>
        <v>1336947.5950996587</v>
      </c>
      <c r="L336" s="12">
        <f t="shared" si="64"/>
        <v>2266100.8579344228</v>
      </c>
      <c r="M336" s="12">
        <f t="shared" si="64"/>
        <v>278034.19288219046</v>
      </c>
      <c r="N336" s="12">
        <f t="shared" si="64"/>
        <v>80707.167612646706</v>
      </c>
      <c r="O336" s="12">
        <f t="shared" si="64"/>
        <v>886217.55274867173</v>
      </c>
      <c r="P336" s="12">
        <f t="shared" si="64"/>
        <v>1433475.2437363844</v>
      </c>
      <c r="Q336" s="12">
        <f t="shared" si="64"/>
        <v>4661481.2968909955</v>
      </c>
      <c r="R336" s="12">
        <f t="shared" si="64"/>
        <v>4565872.8644032655</v>
      </c>
      <c r="S336" s="12">
        <f t="shared" si="64"/>
        <v>3875375.9449052317</v>
      </c>
      <c r="T336" s="12">
        <f t="shared" si="64"/>
        <v>3735285.1197641408</v>
      </c>
      <c r="U336" s="12">
        <f t="shared" si="64"/>
        <v>2339010.0537829716</v>
      </c>
    </row>
    <row r="337" spans="1:21">
      <c r="A337" s="10" t="s">
        <v>159</v>
      </c>
      <c r="B337" s="13">
        <f>-(B336-$B$219-$B$220)/($B$219+$B$220)</f>
        <v>1.7625878432900377</v>
      </c>
      <c r="C337" s="13">
        <f t="shared" ref="C337:U337" si="65">-(C336-$B$219-$B$220-C223-C225)/($B$219+$B$220+C223+C225)</f>
        <v>1.7056228157135829</v>
      </c>
      <c r="D337" s="13">
        <f t="shared" si="65"/>
        <v>1.705447282144346</v>
      </c>
      <c r="E337" s="13">
        <f t="shared" si="65"/>
        <v>1.5938539664838045</v>
      </c>
      <c r="F337" s="13">
        <f t="shared" si="65"/>
        <v>1.5544084993593499</v>
      </c>
      <c r="G337" s="13">
        <f t="shared" si="65"/>
        <v>1.8729572079597601</v>
      </c>
      <c r="H337" s="13">
        <f t="shared" si="65"/>
        <v>1.4520561745956519</v>
      </c>
      <c r="I337" s="13">
        <f t="shared" si="65"/>
        <v>1.4067170163501619</v>
      </c>
      <c r="J337" s="13">
        <f t="shared" si="65"/>
        <v>1.313672758332574</v>
      </c>
      <c r="K337" s="13">
        <f t="shared" si="65"/>
        <v>1.2838097766144683</v>
      </c>
      <c r="L337" s="13">
        <f t="shared" si="65"/>
        <v>1.4089905291606413</v>
      </c>
      <c r="M337" s="13">
        <f t="shared" si="65"/>
        <v>1.0497313999498212</v>
      </c>
      <c r="N337" s="13">
        <f t="shared" si="65"/>
        <v>1.0141325799969101</v>
      </c>
      <c r="O337" s="13">
        <f t="shared" si="65"/>
        <v>1.1354924125578096</v>
      </c>
      <c r="P337" s="13">
        <f t="shared" si="65"/>
        <v>1.195677120120459</v>
      </c>
      <c r="Q337" s="13">
        <f t="shared" si="65"/>
        <v>1.5945223096747205</v>
      </c>
      <c r="R337" s="13">
        <f t="shared" si="65"/>
        <v>1.5760832428754086</v>
      </c>
      <c r="S337" s="13">
        <f t="shared" si="65"/>
        <v>1.4646334186644154</v>
      </c>
      <c r="T337" s="13">
        <f t="shared" si="65"/>
        <v>1.4433195457264358</v>
      </c>
      <c r="U337" s="13">
        <f t="shared" si="65"/>
        <v>1.2504101135592354</v>
      </c>
    </row>
    <row r="339" spans="1:21">
      <c r="A339" t="s">
        <v>202</v>
      </c>
    </row>
    <row r="340" spans="1:21">
      <c r="A340" s="10" t="s">
        <v>203</v>
      </c>
      <c r="B340" s="12"/>
      <c r="C340" s="12">
        <f>C334-$B$334</f>
        <v>-113222.6485802345</v>
      </c>
      <c r="D340" s="12">
        <f>D334-$B$334</f>
        <v>-89094.006443701684</v>
      </c>
      <c r="E340" s="12">
        <f t="shared" ref="E340:U340" si="66">E334-$B$334</f>
        <v>-139531.80298670754</v>
      </c>
      <c r="F340" s="12">
        <f t="shared" si="66"/>
        <v>-214635.20502202399</v>
      </c>
      <c r="G340" s="12">
        <f t="shared" si="66"/>
        <v>1339647.3870428037</v>
      </c>
      <c r="H340" s="12">
        <f t="shared" si="66"/>
        <v>-355818.14252353832</v>
      </c>
      <c r="I340" s="12">
        <f t="shared" si="66"/>
        <v>-492477.28626468033</v>
      </c>
      <c r="J340" s="12">
        <f t="shared" si="66"/>
        <v>-711198.76064663567</v>
      </c>
      <c r="K340" s="12">
        <f t="shared" si="66"/>
        <v>-814232.51529361866</v>
      </c>
      <c r="L340" s="12">
        <f t="shared" si="66"/>
        <v>294645.76503297128</v>
      </c>
      <c r="M340" s="12">
        <f t="shared" si="66"/>
        <v>-1806740.9367160089</v>
      </c>
      <c r="N340" s="12">
        <f t="shared" si="66"/>
        <v>-2004070.1456216276</v>
      </c>
      <c r="O340" s="12">
        <f t="shared" si="66"/>
        <v>-1032923.8067838661</v>
      </c>
      <c r="P340" s="12">
        <f t="shared" si="66"/>
        <v>-318042.20407509059</v>
      </c>
      <c r="Q340" s="12">
        <f t="shared" si="66"/>
        <v>3264493.5429961644</v>
      </c>
      <c r="R340" s="12">
        <f t="shared" si="66"/>
        <v>3164721.6443936303</v>
      </c>
      <c r="S340" s="12">
        <f t="shared" si="66"/>
        <v>2496702.3467647023</v>
      </c>
      <c r="T340" s="12">
        <f t="shared" si="66"/>
        <v>2346500.6800344959</v>
      </c>
      <c r="U340" s="12">
        <f t="shared" si="66"/>
        <v>992264.00524886884</v>
      </c>
    </row>
    <row r="341" spans="1:21">
      <c r="A341" s="10" t="s">
        <v>204</v>
      </c>
      <c r="B341" s="12"/>
      <c r="C341" s="12">
        <f>C335-$B$335</f>
        <v>-13.951008250936866</v>
      </c>
      <c r="D341" s="12">
        <f>D335-$B$335</f>
        <v>-0.60656557604670525</v>
      </c>
      <c r="E341" s="12">
        <f t="shared" ref="E341:U341" si="67">E335-$B$335</f>
        <v>-46920.516204988584</v>
      </c>
      <c r="F341" s="12">
        <f t="shared" si="67"/>
        <v>-46925.611355828121</v>
      </c>
      <c r="G341" s="12">
        <f t="shared" si="67"/>
        <v>-174736.01441472583</v>
      </c>
      <c r="H341" s="12">
        <f t="shared" si="67"/>
        <v>-113761.85906242952</v>
      </c>
      <c r="I341" s="12">
        <f t="shared" si="67"/>
        <v>-113766.34764769115</v>
      </c>
      <c r="J341" s="12">
        <f t="shared" si="67"/>
        <v>-167632.28232601471</v>
      </c>
      <c r="K341" s="12">
        <f t="shared" si="67"/>
        <v>-167633.85818338022</v>
      </c>
      <c r="L341" s="12">
        <f t="shared" si="67"/>
        <v>-347358.87567520607</v>
      </c>
      <c r="M341" s="12">
        <f t="shared" si="67"/>
        <v>-234038.8389784582</v>
      </c>
      <c r="N341" s="12">
        <f t="shared" si="67"/>
        <v>-234036.65534238331</v>
      </c>
      <c r="O341" s="12">
        <f t="shared" si="67"/>
        <v>-399672.60904411972</v>
      </c>
      <c r="P341" s="12">
        <f t="shared" si="67"/>
        <v>-567296.52076518256</v>
      </c>
      <c r="Q341" s="12">
        <f t="shared" si="67"/>
        <v>-921826.21468182653</v>
      </c>
      <c r="R341" s="12">
        <f t="shared" si="67"/>
        <v>-917662.74856702238</v>
      </c>
      <c r="S341" s="12">
        <f t="shared" si="67"/>
        <v>-940140.37043612823</v>
      </c>
      <c r="T341" s="12">
        <f t="shared" si="67"/>
        <v>-930029.52884701267</v>
      </c>
      <c r="U341" s="12">
        <f t="shared" si="67"/>
        <v>-972067.92004255485</v>
      </c>
    </row>
    <row r="342" spans="1:21">
      <c r="A342" s="10" t="s">
        <v>205</v>
      </c>
      <c r="B342" s="12"/>
      <c r="C342" s="12">
        <f>C341+C340</f>
        <v>-113236.59958848543</v>
      </c>
      <c r="D342" s="12">
        <f t="shared" ref="D342:U342" si="68">D341+D340</f>
        <v>-89094.613009277731</v>
      </c>
      <c r="E342" s="12">
        <f t="shared" si="68"/>
        <v>-186452.31919169612</v>
      </c>
      <c r="F342" s="12">
        <f t="shared" si="68"/>
        <v>-261560.81637785211</v>
      </c>
      <c r="G342" s="12">
        <f t="shared" si="68"/>
        <v>1164911.3726280779</v>
      </c>
      <c r="H342" s="12">
        <f t="shared" si="68"/>
        <v>-469580.00158596784</v>
      </c>
      <c r="I342" s="12">
        <f t="shared" si="68"/>
        <v>-606243.63391237147</v>
      </c>
      <c r="J342" s="12">
        <f t="shared" si="68"/>
        <v>-878831.04297265038</v>
      </c>
      <c r="K342" s="12">
        <f t="shared" si="68"/>
        <v>-981866.37347699888</v>
      </c>
      <c r="L342" s="12">
        <f t="shared" si="68"/>
        <v>-52713.110642234795</v>
      </c>
      <c r="M342" s="12">
        <f t="shared" si="68"/>
        <v>-2040779.7756944671</v>
      </c>
      <c r="N342" s="12">
        <f t="shared" si="68"/>
        <v>-2238106.8009640109</v>
      </c>
      <c r="O342" s="12">
        <f t="shared" si="68"/>
        <v>-1432596.4158279859</v>
      </c>
      <c r="P342" s="12">
        <f t="shared" si="68"/>
        <v>-885338.72484027315</v>
      </c>
      <c r="Q342" s="12">
        <f t="shared" si="68"/>
        <v>2342667.3283143379</v>
      </c>
      <c r="R342" s="12">
        <f t="shared" si="68"/>
        <v>2247058.8958266079</v>
      </c>
      <c r="S342" s="12">
        <f t="shared" si="68"/>
        <v>1556561.9763285741</v>
      </c>
      <c r="T342" s="12">
        <f t="shared" si="68"/>
        <v>1416471.1511874832</v>
      </c>
      <c r="U342" s="12">
        <f t="shared" si="68"/>
        <v>20196.08520631399</v>
      </c>
    </row>
    <row r="343" spans="1:21">
      <c r="A343" s="10" t="s">
        <v>206</v>
      </c>
      <c r="B343" s="13"/>
      <c r="C343" s="13">
        <f t="shared" ref="C343:U343" si="69">-(C342-C225-C223)/(C225+C223)</f>
        <v>-0.33219528927629921</v>
      </c>
      <c r="D343" s="13">
        <f t="shared" si="69"/>
        <v>0.25754489158935223</v>
      </c>
      <c r="E343" s="13">
        <f t="shared" si="69"/>
        <v>0.66099578328782527</v>
      </c>
      <c r="F343" s="13">
        <f t="shared" si="69"/>
        <v>0.60961072182410136</v>
      </c>
      <c r="G343" s="13">
        <f t="shared" si="69"/>
        <v>2.2262224975032399</v>
      </c>
      <c r="H343" s="13">
        <f t="shared" si="69"/>
        <v>0.55278095087050683</v>
      </c>
      <c r="I343" s="13">
        <f t="shared" si="69"/>
        <v>0.48184304793814403</v>
      </c>
      <c r="J343" s="13">
        <f t="shared" si="69"/>
        <v>0.43301223034022557</v>
      </c>
      <c r="K343" s="13">
        <f t="shared" si="69"/>
        <v>0.41205606378622822</v>
      </c>
      <c r="L343" s="13">
        <f t="shared" si="69"/>
        <v>0.97891475574310605</v>
      </c>
      <c r="M343" s="13">
        <f t="shared" si="69"/>
        <v>0.19969420561001289</v>
      </c>
      <c r="N343" s="13">
        <f t="shared" si="69"/>
        <v>0.161757752447936</v>
      </c>
      <c r="O343" s="13">
        <f t="shared" si="69"/>
        <v>0.59068673833486118</v>
      </c>
      <c r="P343" s="13">
        <f t="shared" si="69"/>
        <v>0.79338652862537384</v>
      </c>
      <c r="Q343" s="13">
        <f t="shared" si="69"/>
        <v>1.4880556933988205</v>
      </c>
      <c r="R343" s="13">
        <f t="shared" si="69"/>
        <v>1.4599915856349248</v>
      </c>
      <c r="S343" s="13">
        <f t="shared" si="69"/>
        <v>1.2936909389299196</v>
      </c>
      <c r="T343" s="13">
        <f t="shared" si="69"/>
        <v>1.2630401394962829</v>
      </c>
      <c r="U343" s="13">
        <f t="shared" si="69"/>
        <v>1.003205727810526</v>
      </c>
    </row>
    <row r="345" spans="1:21">
      <c r="B345" t="s">
        <v>8</v>
      </c>
    </row>
    <row r="346" spans="1:21">
      <c r="B346" t="s">
        <v>293</v>
      </c>
    </row>
  </sheetData>
  <conditionalFormatting sqref="C336:U336">
    <cfRule type="colorScale" priority="344">
      <colorScale>
        <cfvo type="min"/>
        <cfvo type="max"/>
        <color rgb="FFFCFCFF"/>
        <color rgb="FF63BE7B"/>
      </colorScale>
    </cfRule>
  </conditionalFormatting>
  <conditionalFormatting sqref="C340:U340">
    <cfRule type="colorScale" priority="345">
      <colorScale>
        <cfvo type="min"/>
        <cfvo type="max"/>
        <color rgb="FFFCFCFF"/>
        <color rgb="FF63BE7B"/>
      </colorScale>
    </cfRule>
  </conditionalFormatting>
  <conditionalFormatting sqref="C341:U341">
    <cfRule type="colorScale" priority="346">
      <colorScale>
        <cfvo type="min"/>
        <cfvo type="max"/>
        <color rgb="FFFCFCFF"/>
        <color rgb="FF63BE7B"/>
      </colorScale>
    </cfRule>
  </conditionalFormatting>
  <conditionalFormatting sqref="C342:U342">
    <cfRule type="colorScale" priority="347">
      <colorScale>
        <cfvo type="min"/>
        <cfvo type="max"/>
        <color rgb="FFFCFCFF"/>
        <color rgb="FF63BE7B"/>
      </colorScale>
    </cfRule>
  </conditionalFormatting>
  <conditionalFormatting sqref="B335:U335">
    <cfRule type="colorScale" priority="348">
      <colorScale>
        <cfvo type="min"/>
        <cfvo type="max"/>
        <color rgb="FFFCFCFF"/>
        <color rgb="FF63BE7B"/>
      </colorScale>
    </cfRule>
  </conditionalFormatting>
  <conditionalFormatting sqref="B334:U334">
    <cfRule type="colorScale" priority="349">
      <colorScale>
        <cfvo type="min"/>
        <cfvo type="max"/>
        <color rgb="FFFCFCFF"/>
        <color rgb="FF63BE7B"/>
      </colorScale>
    </cfRule>
  </conditionalFormatting>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07"/>
  <sheetViews>
    <sheetView topLeftCell="G71" workbookViewId="0">
      <selection activeCell="L80" sqref="L80"/>
    </sheetView>
  </sheetViews>
  <sheetFormatPr defaultRowHeight="15"/>
  <cols>
    <col min="1" max="1" width="37.140625" style="18" bestFit="1" customWidth="1"/>
    <col min="2" max="5" width="34" style="18" bestFit="1" customWidth="1"/>
    <col min="6" max="6" width="19.7109375" style="18" customWidth="1"/>
    <col min="7" max="7" width="37.140625" style="18" bestFit="1" customWidth="1"/>
    <col min="8" max="11" width="34" style="18" bestFit="1" customWidth="1"/>
    <col min="12" max="16384" width="9.140625" style="18"/>
  </cols>
  <sheetData>
    <row r="1" spans="1:11">
      <c r="A1" s="18" t="s">
        <v>248</v>
      </c>
    </row>
    <row r="2" spans="1:11">
      <c r="A2" s="17" t="s">
        <v>306</v>
      </c>
    </row>
    <row r="3" spans="1:11">
      <c r="A3" s="18" t="s">
        <v>289</v>
      </c>
      <c r="G3" s="18" t="s">
        <v>290</v>
      </c>
    </row>
    <row r="4" spans="1:11">
      <c r="A4" s="18" t="s">
        <v>249</v>
      </c>
      <c r="B4" s="18" t="s">
        <v>250</v>
      </c>
      <c r="C4" s="19" t="s">
        <v>251</v>
      </c>
      <c r="E4" s="48"/>
      <c r="F4" s="48"/>
      <c r="G4" s="18" t="s">
        <v>249</v>
      </c>
      <c r="H4" s="18" t="s">
        <v>250</v>
      </c>
      <c r="I4" s="19" t="s">
        <v>251</v>
      </c>
      <c r="K4" s="48"/>
    </row>
    <row r="5" spans="1:11">
      <c r="A5" s="18" t="s">
        <v>300</v>
      </c>
      <c r="B5" s="17" t="s">
        <v>299</v>
      </c>
      <c r="C5" s="17" t="s">
        <v>297</v>
      </c>
      <c r="D5" s="17" t="s">
        <v>307</v>
      </c>
      <c r="E5" s="17" t="s">
        <v>298</v>
      </c>
      <c r="G5" s="18" t="s">
        <v>300</v>
      </c>
      <c r="H5" s="17" t="s">
        <v>299</v>
      </c>
      <c r="I5" s="17" t="s">
        <v>297</v>
      </c>
      <c r="J5" s="17" t="s">
        <v>307</v>
      </c>
      <c r="K5" s="17" t="s">
        <v>298</v>
      </c>
    </row>
    <row r="6" spans="1:11">
      <c r="A6" s="10" t="s">
        <v>7</v>
      </c>
      <c r="B6" t="s">
        <v>8</v>
      </c>
      <c r="C6" t="s">
        <v>15</v>
      </c>
      <c r="D6" t="s">
        <v>18</v>
      </c>
      <c r="E6" t="s">
        <v>15</v>
      </c>
      <c r="G6" s="10" t="s">
        <v>7</v>
      </c>
      <c r="H6" t="s">
        <v>8</v>
      </c>
      <c r="I6" t="s">
        <v>17</v>
      </c>
      <c r="J6" t="s">
        <v>8</v>
      </c>
      <c r="K6" t="s">
        <v>17</v>
      </c>
    </row>
    <row r="7" spans="1:11">
      <c r="A7" s="10" t="s">
        <v>305</v>
      </c>
      <c r="B7" t="s">
        <v>8</v>
      </c>
      <c r="C7" t="s">
        <v>8</v>
      </c>
      <c r="D7" t="s">
        <v>8</v>
      </c>
      <c r="E7" t="s">
        <v>8</v>
      </c>
      <c r="G7" s="10" t="s">
        <v>305</v>
      </c>
      <c r="H7" t="s">
        <v>8</v>
      </c>
      <c r="I7" t="s">
        <v>8</v>
      </c>
      <c r="J7" t="s">
        <v>8</v>
      </c>
      <c r="K7" t="s">
        <v>8</v>
      </c>
    </row>
    <row r="8" spans="1:11">
      <c r="A8" s="10" t="s">
        <v>10</v>
      </c>
      <c r="B8" t="s">
        <v>8</v>
      </c>
      <c r="C8" t="s">
        <v>21</v>
      </c>
      <c r="D8" t="s">
        <v>21</v>
      </c>
      <c r="E8" t="s">
        <v>21</v>
      </c>
      <c r="G8" s="10" t="s">
        <v>10</v>
      </c>
      <c r="H8" t="s">
        <v>8</v>
      </c>
      <c r="I8" t="s">
        <v>21</v>
      </c>
      <c r="J8" t="s">
        <v>8</v>
      </c>
      <c r="K8" t="s">
        <v>21</v>
      </c>
    </row>
    <row r="9" spans="1:11">
      <c r="A9" s="10" t="s">
        <v>11</v>
      </c>
      <c r="B9" t="s">
        <v>12</v>
      </c>
      <c r="C9" t="s">
        <v>12</v>
      </c>
      <c r="D9" t="s">
        <v>12</v>
      </c>
      <c r="E9" t="s">
        <v>12</v>
      </c>
      <c r="G9" s="10" t="s">
        <v>11</v>
      </c>
      <c r="H9" t="s">
        <v>12</v>
      </c>
      <c r="I9" t="s">
        <v>12</v>
      </c>
      <c r="J9" t="s">
        <v>12</v>
      </c>
      <c r="K9" t="s">
        <v>12</v>
      </c>
    </row>
    <row r="10" spans="1:11">
      <c r="A10" s="10" t="s">
        <v>291</v>
      </c>
      <c r="B10" t="s">
        <v>8</v>
      </c>
      <c r="C10" t="s">
        <v>293</v>
      </c>
      <c r="D10" t="s">
        <v>293</v>
      </c>
      <c r="E10" t="s">
        <v>293</v>
      </c>
      <c r="G10" s="10" t="s">
        <v>291</v>
      </c>
      <c r="H10" t="s">
        <v>8</v>
      </c>
      <c r="I10" t="s">
        <v>293</v>
      </c>
      <c r="J10" t="s">
        <v>8</v>
      </c>
      <c r="K10" t="s">
        <v>293</v>
      </c>
    </row>
    <row r="11" spans="1:11">
      <c r="A11" s="10" t="s">
        <v>301</v>
      </c>
      <c r="B11" s="48">
        <v>-518433.40132487641</v>
      </c>
      <c r="C11" s="48">
        <v>-518433.40132487641</v>
      </c>
      <c r="D11" s="48">
        <v>-518433.40132487641</v>
      </c>
      <c r="E11" s="48">
        <v>-518433.40132487641</v>
      </c>
      <c r="G11" s="10" t="s">
        <v>301</v>
      </c>
      <c r="H11" s="48">
        <v>-518433.41692267626</v>
      </c>
      <c r="I11" s="48">
        <v>-518433.41692267626</v>
      </c>
      <c r="J11" s="48">
        <v>-518433.41692267626</v>
      </c>
      <c r="K11" s="48">
        <v>-518433.41692267626</v>
      </c>
    </row>
    <row r="12" spans="1:11">
      <c r="A12" s="10" t="s">
        <v>303</v>
      </c>
      <c r="B12" s="48">
        <v>0</v>
      </c>
      <c r="C12" s="48">
        <v>-4800000</v>
      </c>
      <c r="D12" s="48">
        <v>-6300000</v>
      </c>
      <c r="E12" s="48">
        <v>-4800000</v>
      </c>
      <c r="G12" s="10" t="s">
        <v>303</v>
      </c>
      <c r="H12" s="48">
        <v>0</v>
      </c>
      <c r="I12" s="48">
        <v>-5300000</v>
      </c>
      <c r="J12" s="48">
        <v>0</v>
      </c>
      <c r="K12" s="48">
        <v>-5300000</v>
      </c>
    </row>
    <row r="13" spans="1:11">
      <c r="A13" s="10" t="s">
        <v>302</v>
      </c>
      <c r="B13" s="48">
        <v>0</v>
      </c>
      <c r="C13" s="48">
        <v>-31875.589999999851</v>
      </c>
      <c r="D13" s="48">
        <v>-44837.120000000112</v>
      </c>
      <c r="E13" s="48">
        <v>-31875.589999999851</v>
      </c>
      <c r="G13" s="10" t="s">
        <v>302</v>
      </c>
      <c r="H13" s="48">
        <v>0</v>
      </c>
      <c r="I13" s="48">
        <v>0</v>
      </c>
      <c r="J13" s="48">
        <v>0</v>
      </c>
      <c r="K13" s="48">
        <v>0</v>
      </c>
    </row>
    <row r="14" spans="1:11">
      <c r="A14" s="10" t="s">
        <v>304</v>
      </c>
      <c r="B14" s="48">
        <v>0</v>
      </c>
      <c r="C14" s="48">
        <v>-41158.26</v>
      </c>
      <c r="D14" s="48">
        <v>-41158.26</v>
      </c>
      <c r="E14" s="48">
        <v>-41158.26</v>
      </c>
      <c r="G14" s="10" t="s">
        <v>304</v>
      </c>
      <c r="H14" s="48">
        <v>0</v>
      </c>
      <c r="I14" s="48">
        <v>-41158.26</v>
      </c>
      <c r="J14" s="48">
        <v>0</v>
      </c>
      <c r="K14" s="48">
        <v>-41158.26</v>
      </c>
    </row>
    <row r="15" spans="1:11">
      <c r="A15" s="10" t="s">
        <v>230</v>
      </c>
      <c r="B15" s="9">
        <v>0.12102113157738981</v>
      </c>
      <c r="C15" s="9">
        <v>0.58241760011277011</v>
      </c>
      <c r="D15" s="9">
        <v>0.62979979576213463</v>
      </c>
      <c r="E15" s="9">
        <v>0.58241760011277011</v>
      </c>
      <c r="G15" s="10" t="s">
        <v>230</v>
      </c>
      <c r="H15" s="9">
        <v>0.11947751074498869</v>
      </c>
      <c r="I15" s="9">
        <v>0.53347489369392265</v>
      </c>
      <c r="J15" s="9">
        <v>0.11947751074498869</v>
      </c>
      <c r="K15" s="9">
        <v>0.53347489369392265</v>
      </c>
    </row>
    <row r="16" spans="1:11">
      <c r="A16" s="10" t="s">
        <v>237</v>
      </c>
      <c r="B16" s="11">
        <v>322318.1437124433</v>
      </c>
      <c r="C16" s="11">
        <v>4091239.8087606104</v>
      </c>
      <c r="D16" s="11">
        <v>1841574.3455954948</v>
      </c>
      <c r="E16" s="11">
        <v>4091239.8087606104</v>
      </c>
      <c r="G16" s="10" t="s">
        <v>237</v>
      </c>
      <c r="H16" s="11">
        <v>191270.00325581152</v>
      </c>
      <c r="I16" s="11">
        <v>3350161.1791215492</v>
      </c>
      <c r="J16" s="11">
        <v>191270.00325581152</v>
      </c>
      <c r="K16" s="11">
        <v>3350161.1791215492</v>
      </c>
    </row>
    <row r="17" spans="1:11">
      <c r="A17" s="10" t="s">
        <v>238</v>
      </c>
      <c r="B17" s="11">
        <v>1477344.0172345899</v>
      </c>
      <c r="C17" s="11">
        <v>1581892.2360624559</v>
      </c>
      <c r="D17" s="11">
        <v>2222556.5618639663</v>
      </c>
      <c r="E17" s="11">
        <v>1581892.2360624559</v>
      </c>
      <c r="G17" s="10" t="s">
        <v>238</v>
      </c>
      <c r="H17" s="11">
        <v>1453567.3184312936</v>
      </c>
      <c r="I17" s="11">
        <v>414316.5591119146</v>
      </c>
      <c r="J17" s="11">
        <v>1453567.3184312936</v>
      </c>
      <c r="K17" s="11">
        <v>414316.5591119146</v>
      </c>
    </row>
    <row r="18" spans="1:11">
      <c r="A18" s="10" t="s">
        <v>239</v>
      </c>
      <c r="B18" s="11">
        <v>1799662.1609470332</v>
      </c>
      <c r="C18" s="11">
        <v>5673132.0448230663</v>
      </c>
      <c r="D18" s="11">
        <v>4064130.9074594611</v>
      </c>
      <c r="E18" s="11">
        <v>5673132.0448230663</v>
      </c>
      <c r="G18" s="10" t="s">
        <v>239</v>
      </c>
      <c r="H18" s="11">
        <v>1644837.3216871051</v>
      </c>
      <c r="I18" s="11">
        <v>3764477.7382334638</v>
      </c>
      <c r="J18" s="11">
        <v>1644837.3216871051</v>
      </c>
      <c r="K18" s="11">
        <v>3764477.7382334638</v>
      </c>
    </row>
    <row r="19" spans="1:11">
      <c r="A19" s="10" t="s">
        <v>159</v>
      </c>
      <c r="B19" s="9">
        <v>4.4713468621966239</v>
      </c>
      <c r="C19" s="9">
        <v>2.0603372728606186</v>
      </c>
      <c r="D19" s="9">
        <v>1.5921565957267447</v>
      </c>
      <c r="E19" s="9">
        <v>2.0603372728606186</v>
      </c>
      <c r="G19" s="10" t="s">
        <v>159</v>
      </c>
      <c r="H19" s="9">
        <v>4.1727069822206904</v>
      </c>
      <c r="I19" s="9">
        <v>1.6469916330544632</v>
      </c>
      <c r="J19" s="9">
        <v>4.1727069822206904</v>
      </c>
      <c r="K19" s="9">
        <v>1.6469916330544632</v>
      </c>
    </row>
    <row r="20" spans="1:11">
      <c r="B20"/>
      <c r="C20"/>
      <c r="D20" s="19"/>
      <c r="E20" s="19"/>
      <c r="F20" s="19"/>
      <c r="H20"/>
      <c r="I20"/>
      <c r="J20" s="19"/>
      <c r="K20" s="19"/>
    </row>
    <row r="21" spans="1:11">
      <c r="A21" s="18" t="s">
        <v>252</v>
      </c>
      <c r="B21" s="18" t="s">
        <v>253</v>
      </c>
      <c r="C21" s="19" t="s">
        <v>254</v>
      </c>
      <c r="E21" s="48"/>
      <c r="F21" s="48"/>
      <c r="G21" s="18" t="s">
        <v>252</v>
      </c>
      <c r="H21" s="18" t="s">
        <v>253</v>
      </c>
      <c r="I21" s="19" t="s">
        <v>254</v>
      </c>
      <c r="K21" s="48"/>
    </row>
    <row r="22" spans="1:11">
      <c r="A22" s="18" t="s">
        <v>300</v>
      </c>
      <c r="B22" s="17" t="s">
        <v>299</v>
      </c>
      <c r="C22" s="17" t="s">
        <v>297</v>
      </c>
      <c r="D22" s="17" t="s">
        <v>307</v>
      </c>
      <c r="E22" s="17" t="s">
        <v>298</v>
      </c>
      <c r="G22" s="18" t="s">
        <v>300</v>
      </c>
      <c r="H22" s="17" t="s">
        <v>299</v>
      </c>
      <c r="I22" s="17" t="s">
        <v>297</v>
      </c>
      <c r="J22" s="17" t="s">
        <v>307</v>
      </c>
      <c r="K22" s="17" t="s">
        <v>298</v>
      </c>
    </row>
    <row r="23" spans="1:11">
      <c r="A23" s="10" t="s">
        <v>7</v>
      </c>
      <c r="B23" t="s">
        <v>8</v>
      </c>
      <c r="C23" t="s">
        <v>15</v>
      </c>
      <c r="D23" t="s">
        <v>18</v>
      </c>
      <c r="E23" t="s">
        <v>15</v>
      </c>
      <c r="G23" s="10" t="s">
        <v>7</v>
      </c>
      <c r="H23" t="s">
        <v>8</v>
      </c>
      <c r="I23" t="s">
        <v>15</v>
      </c>
      <c r="J23" t="s">
        <v>8</v>
      </c>
      <c r="K23" t="s">
        <v>15</v>
      </c>
    </row>
    <row r="24" spans="1:11">
      <c r="A24" s="10" t="s">
        <v>305</v>
      </c>
      <c r="B24" t="s">
        <v>8</v>
      </c>
      <c r="C24" t="s">
        <v>8</v>
      </c>
      <c r="D24" t="s">
        <v>8</v>
      </c>
      <c r="E24" t="s">
        <v>8</v>
      </c>
      <c r="G24" s="10" t="s">
        <v>305</v>
      </c>
      <c r="H24" t="s">
        <v>8</v>
      </c>
      <c r="I24" t="s">
        <v>8</v>
      </c>
      <c r="J24" t="s">
        <v>8</v>
      </c>
      <c r="K24" t="s">
        <v>8</v>
      </c>
    </row>
    <row r="25" spans="1:11">
      <c r="A25" s="10" t="s">
        <v>10</v>
      </c>
      <c r="B25" t="s">
        <v>8</v>
      </c>
      <c r="C25" t="s">
        <v>21</v>
      </c>
      <c r="D25" t="s">
        <v>21</v>
      </c>
      <c r="E25" t="s">
        <v>21</v>
      </c>
      <c r="G25" s="10" t="s">
        <v>10</v>
      </c>
      <c r="H25" t="s">
        <v>8</v>
      </c>
      <c r="I25" t="s">
        <v>21</v>
      </c>
      <c r="J25" t="s">
        <v>8</v>
      </c>
      <c r="K25" t="s">
        <v>21</v>
      </c>
    </row>
    <row r="26" spans="1:11">
      <c r="A26" s="10" t="s">
        <v>11</v>
      </c>
      <c r="B26" t="s">
        <v>12</v>
      </c>
      <c r="C26" t="s">
        <v>12</v>
      </c>
      <c r="D26" t="s">
        <v>12</v>
      </c>
      <c r="E26" t="s">
        <v>12</v>
      </c>
      <c r="G26" s="10" t="s">
        <v>11</v>
      </c>
      <c r="H26" t="s">
        <v>12</v>
      </c>
      <c r="I26" t="s">
        <v>12</v>
      </c>
      <c r="J26" t="s">
        <v>12</v>
      </c>
      <c r="K26" t="s">
        <v>12</v>
      </c>
    </row>
    <row r="27" spans="1:11">
      <c r="A27" s="10" t="s">
        <v>291</v>
      </c>
      <c r="B27" t="s">
        <v>8</v>
      </c>
      <c r="C27" t="s">
        <v>293</v>
      </c>
      <c r="D27" t="s">
        <v>293</v>
      </c>
      <c r="E27" t="s">
        <v>293</v>
      </c>
      <c r="G27" s="10" t="s">
        <v>291</v>
      </c>
      <c r="H27" t="s">
        <v>8</v>
      </c>
      <c r="I27" t="s">
        <v>293</v>
      </c>
      <c r="J27" t="s">
        <v>8</v>
      </c>
      <c r="K27" t="s">
        <v>293</v>
      </c>
    </row>
    <row r="28" spans="1:11">
      <c r="A28" s="10" t="s">
        <v>301</v>
      </c>
      <c r="B28" s="48">
        <v>-1414120.2429865745</v>
      </c>
      <c r="C28" s="48">
        <v>-1414120.2429865745</v>
      </c>
      <c r="D28" s="48">
        <v>-1414120.2429865745</v>
      </c>
      <c r="E28" s="48">
        <v>-1414120.2429865745</v>
      </c>
      <c r="G28" s="10" t="s">
        <v>301</v>
      </c>
      <c r="H28" s="48">
        <v>-1414119.9899158319</v>
      </c>
      <c r="I28" s="48">
        <v>-1414119.9899158319</v>
      </c>
      <c r="J28" s="48">
        <v>-1414119.9899158319</v>
      </c>
      <c r="K28" s="48">
        <v>-1414119.9899158319</v>
      </c>
    </row>
    <row r="29" spans="1:11">
      <c r="A29" s="10" t="s">
        <v>303</v>
      </c>
      <c r="B29" s="48">
        <v>0</v>
      </c>
      <c r="C29" s="48">
        <v>-4800000</v>
      </c>
      <c r="D29" s="48">
        <v>-6300000</v>
      </c>
      <c r="E29" s="48">
        <v>-4800000</v>
      </c>
      <c r="G29" s="10" t="s">
        <v>303</v>
      </c>
      <c r="H29" s="48">
        <v>0</v>
      </c>
      <c r="I29" s="48">
        <v>-4800000</v>
      </c>
      <c r="J29" s="48">
        <v>0</v>
      </c>
      <c r="K29" s="48">
        <v>-4800000</v>
      </c>
    </row>
    <row r="30" spans="1:11">
      <c r="A30" s="10" t="s">
        <v>302</v>
      </c>
      <c r="B30" s="48">
        <v>0</v>
      </c>
      <c r="C30" s="48">
        <v>-34482.879999999888</v>
      </c>
      <c r="D30" s="48">
        <v>-47876.44000000041</v>
      </c>
      <c r="E30" s="48">
        <v>-34482.879999999888</v>
      </c>
      <c r="G30" s="10" t="s">
        <v>302</v>
      </c>
      <c r="H30" s="48">
        <v>0</v>
      </c>
      <c r="I30" s="48">
        <v>0</v>
      </c>
      <c r="J30" s="48">
        <v>0</v>
      </c>
      <c r="K30" s="48">
        <v>0</v>
      </c>
    </row>
    <row r="31" spans="1:11">
      <c r="A31" s="10" t="s">
        <v>304</v>
      </c>
      <c r="B31" s="48">
        <v>0</v>
      </c>
      <c r="C31" s="48">
        <v>-41158.26</v>
      </c>
      <c r="D31" s="48">
        <v>-41158.26</v>
      </c>
      <c r="E31" s="48">
        <v>-41158.26</v>
      </c>
      <c r="G31" s="10" t="s">
        <v>304</v>
      </c>
      <c r="H31" s="48">
        <v>0</v>
      </c>
      <c r="I31" s="48">
        <v>-41158.26</v>
      </c>
      <c r="J31" s="48">
        <v>0</v>
      </c>
      <c r="K31" s="48">
        <v>-41158.26</v>
      </c>
    </row>
    <row r="32" spans="1:11">
      <c r="A32" s="10" t="s">
        <v>230</v>
      </c>
      <c r="B32" s="9">
        <v>0.18951144780676943</v>
      </c>
      <c r="C32" s="9">
        <v>0.64707060484477985</v>
      </c>
      <c r="D32" s="9">
        <v>0.69498984030750255</v>
      </c>
      <c r="E32" s="9">
        <v>0.64707060484477985</v>
      </c>
      <c r="G32" s="10" t="s">
        <v>230</v>
      </c>
      <c r="H32" s="9">
        <v>0.1889846889972604</v>
      </c>
      <c r="I32" s="9">
        <v>0.57825388711583581</v>
      </c>
      <c r="J32" s="9">
        <v>0.1889846889972604</v>
      </c>
      <c r="K32" s="9">
        <v>0.57825388711583581</v>
      </c>
    </row>
    <row r="33" spans="1:11">
      <c r="A33" s="10" t="s">
        <v>237</v>
      </c>
      <c r="B33" s="11">
        <v>1176325.8183533782</v>
      </c>
      <c r="C33" s="11">
        <v>4636685.8585975962</v>
      </c>
      <c r="D33" s="11">
        <v>2355182.056218286</v>
      </c>
      <c r="E33" s="11">
        <v>4636685.8585975962</v>
      </c>
      <c r="G33" s="10" t="s">
        <v>237</v>
      </c>
      <c r="H33" s="11">
        <v>1077750.0826017158</v>
      </c>
      <c r="I33" s="11">
        <v>4429355.0641797027</v>
      </c>
      <c r="J33" s="11">
        <v>819389.58830317203</v>
      </c>
      <c r="K33" s="11">
        <v>4429355.0641797027</v>
      </c>
    </row>
    <row r="34" spans="1:11">
      <c r="A34" s="10" t="s">
        <v>238</v>
      </c>
      <c r="B34" s="11">
        <v>1353967.5005601533</v>
      </c>
      <c r="C34" s="11">
        <v>1642135.4681763928</v>
      </c>
      <c r="D34" s="11">
        <v>2304703.2888242416</v>
      </c>
      <c r="E34" s="11">
        <v>1642135.4681763928</v>
      </c>
      <c r="G34" s="10" t="s">
        <v>238</v>
      </c>
      <c r="H34" s="11">
        <v>1331860.0482482482</v>
      </c>
      <c r="I34" s="11">
        <v>370585.13042559754</v>
      </c>
      <c r="J34" s="11">
        <v>166487.96041018609</v>
      </c>
      <c r="K34" s="11">
        <v>370585.13042559754</v>
      </c>
    </row>
    <row r="35" spans="1:11">
      <c r="A35" s="10" t="s">
        <v>239</v>
      </c>
      <c r="B35" s="11">
        <v>2530293.3189135315</v>
      </c>
      <c r="C35" s="11">
        <v>6278821.326773989</v>
      </c>
      <c r="D35" s="11">
        <v>4659885.3450425277</v>
      </c>
      <c r="E35" s="11">
        <v>6278821.326773989</v>
      </c>
      <c r="G35" s="10" t="s">
        <v>239</v>
      </c>
      <c r="H35" s="11">
        <v>2409610.130849964</v>
      </c>
      <c r="I35" s="11">
        <v>4799940.1946053002</v>
      </c>
      <c r="J35" s="11">
        <v>985877.54871335812</v>
      </c>
      <c r="K35" s="11">
        <v>4799940.1946053002</v>
      </c>
    </row>
    <row r="36" spans="1:11">
      <c r="A36" s="10" t="s">
        <v>159</v>
      </c>
      <c r="B36" s="9">
        <v>2.7893056346959835</v>
      </c>
      <c r="C36" s="9">
        <v>2.0048359934520805</v>
      </c>
      <c r="D36" s="9">
        <v>1.600346217005796</v>
      </c>
      <c r="E36" s="9">
        <v>2.0048359934520805</v>
      </c>
      <c r="G36" s="10" t="s">
        <v>159</v>
      </c>
      <c r="H36" s="9">
        <v>2.7039644075700981</v>
      </c>
      <c r="I36" s="9">
        <v>1.7724247684941006</v>
      </c>
      <c r="J36" s="9">
        <v>1.6971668286593116</v>
      </c>
      <c r="K36" s="9">
        <v>1.7724247684941006</v>
      </c>
    </row>
    <row r="38" spans="1:11">
      <c r="A38" s="18" t="s">
        <v>5</v>
      </c>
      <c r="B38" s="18" t="s">
        <v>255</v>
      </c>
      <c r="C38" s="19" t="s">
        <v>256</v>
      </c>
      <c r="E38" s="48"/>
      <c r="F38" s="48"/>
      <c r="G38" s="18" t="s">
        <v>5</v>
      </c>
      <c r="H38" s="18" t="s">
        <v>255</v>
      </c>
      <c r="I38" s="19" t="s">
        <v>256</v>
      </c>
      <c r="K38" s="48"/>
    </row>
    <row r="39" spans="1:11">
      <c r="A39" s="18" t="s">
        <v>300</v>
      </c>
      <c r="B39" s="17" t="s">
        <v>299</v>
      </c>
      <c r="C39" s="17" t="s">
        <v>297</v>
      </c>
      <c r="D39" s="17" t="s">
        <v>307</v>
      </c>
      <c r="E39" s="17" t="s">
        <v>298</v>
      </c>
      <c r="G39" s="18" t="s">
        <v>300</v>
      </c>
      <c r="H39" s="17" t="s">
        <v>299</v>
      </c>
      <c r="I39" s="17" t="s">
        <v>297</v>
      </c>
      <c r="J39" s="17" t="s">
        <v>307</v>
      </c>
      <c r="K39" s="17" t="s">
        <v>298</v>
      </c>
    </row>
    <row r="40" spans="1:11">
      <c r="A40" s="10" t="s">
        <v>7</v>
      </c>
      <c r="B40" t="s">
        <v>8</v>
      </c>
      <c r="C40" t="s">
        <v>13</v>
      </c>
      <c r="D40" t="s">
        <v>18</v>
      </c>
      <c r="E40" t="s">
        <v>13</v>
      </c>
      <c r="G40" s="10" t="s">
        <v>7</v>
      </c>
      <c r="H40" t="s">
        <v>8</v>
      </c>
      <c r="I40" t="s">
        <v>15</v>
      </c>
      <c r="J40" t="s">
        <v>8</v>
      </c>
      <c r="K40" t="s">
        <v>15</v>
      </c>
    </row>
    <row r="41" spans="1:11">
      <c r="A41" s="10" t="s">
        <v>305</v>
      </c>
      <c r="B41" t="s">
        <v>8</v>
      </c>
      <c r="C41" t="s">
        <v>8</v>
      </c>
      <c r="D41" t="s">
        <v>8</v>
      </c>
      <c r="E41" t="s">
        <v>8</v>
      </c>
      <c r="G41" s="10" t="s">
        <v>305</v>
      </c>
      <c r="H41" t="s">
        <v>8</v>
      </c>
      <c r="I41" t="s">
        <v>8</v>
      </c>
      <c r="J41" t="s">
        <v>8</v>
      </c>
      <c r="K41" t="s">
        <v>8</v>
      </c>
    </row>
    <row r="42" spans="1:11">
      <c r="A42" s="10" t="s">
        <v>10</v>
      </c>
      <c r="B42" t="s">
        <v>8</v>
      </c>
      <c r="C42" t="s">
        <v>21</v>
      </c>
      <c r="D42" t="s">
        <v>21</v>
      </c>
      <c r="E42" t="s">
        <v>21</v>
      </c>
      <c r="G42" s="10" t="s">
        <v>10</v>
      </c>
      <c r="H42" t="s">
        <v>8</v>
      </c>
      <c r="I42" t="s">
        <v>21</v>
      </c>
      <c r="J42" t="s">
        <v>8</v>
      </c>
      <c r="K42" t="s">
        <v>21</v>
      </c>
    </row>
    <row r="43" spans="1:11">
      <c r="A43" s="10" t="s">
        <v>11</v>
      </c>
      <c r="B43" t="s">
        <v>12</v>
      </c>
      <c r="C43" t="s">
        <v>12</v>
      </c>
      <c r="D43" t="s">
        <v>14</v>
      </c>
      <c r="E43" t="s">
        <v>12</v>
      </c>
      <c r="G43" s="10" t="s">
        <v>11</v>
      </c>
      <c r="H43" t="s">
        <v>12</v>
      </c>
      <c r="I43" t="s">
        <v>12</v>
      </c>
      <c r="J43" t="s">
        <v>12</v>
      </c>
      <c r="K43" t="s">
        <v>12</v>
      </c>
    </row>
    <row r="44" spans="1:11">
      <c r="A44" s="10" t="s">
        <v>291</v>
      </c>
      <c r="B44" t="s">
        <v>8</v>
      </c>
      <c r="C44" t="s">
        <v>293</v>
      </c>
      <c r="D44" t="s">
        <v>293</v>
      </c>
      <c r="E44" t="s">
        <v>293</v>
      </c>
      <c r="G44" s="10" t="s">
        <v>291</v>
      </c>
      <c r="H44" t="s">
        <v>8</v>
      </c>
      <c r="I44" t="s">
        <v>293</v>
      </c>
      <c r="J44" t="s">
        <v>8</v>
      </c>
      <c r="K44" t="s">
        <v>293</v>
      </c>
    </row>
    <row r="45" spans="1:11">
      <c r="A45" s="10" t="s">
        <v>301</v>
      </c>
      <c r="B45" s="48">
        <v>-3040717.2838828554</v>
      </c>
      <c r="C45" s="48">
        <v>-3040717.2838828554</v>
      </c>
      <c r="D45" s="48">
        <v>-3040717.2838828554</v>
      </c>
      <c r="E45" s="48">
        <v>-3040717.2838828554</v>
      </c>
      <c r="G45" s="10" t="s">
        <v>301</v>
      </c>
      <c r="H45" s="48">
        <v>-3040717.1960315853</v>
      </c>
      <c r="I45" s="48">
        <v>-3040717.1960315853</v>
      </c>
      <c r="J45" s="48">
        <v>-3040717.2838828554</v>
      </c>
      <c r="K45" s="48">
        <v>-3040717.1960315853</v>
      </c>
    </row>
    <row r="46" spans="1:11">
      <c r="A46" s="10" t="s">
        <v>303</v>
      </c>
      <c r="B46" s="48">
        <v>0</v>
      </c>
      <c r="C46" s="48">
        <v>-4300000</v>
      </c>
      <c r="D46" s="48">
        <v>-6420000</v>
      </c>
      <c r="E46" s="48">
        <v>-4300000</v>
      </c>
      <c r="G46" s="10" t="s">
        <v>303</v>
      </c>
      <c r="H46" s="48">
        <v>0</v>
      </c>
      <c r="I46" s="48">
        <v>-4800000</v>
      </c>
      <c r="J46" s="48">
        <v>0</v>
      </c>
      <c r="K46" s="48">
        <v>-4800000</v>
      </c>
    </row>
    <row r="47" spans="1:11">
      <c r="A47" s="10" t="s">
        <v>302</v>
      </c>
      <c r="B47" s="48">
        <v>0</v>
      </c>
      <c r="C47" s="48">
        <v>-33002.129999999888</v>
      </c>
      <c r="D47" s="48">
        <v>-50234.30999999959</v>
      </c>
      <c r="E47" s="48">
        <v>-33002.129999999888</v>
      </c>
      <c r="G47" s="10" t="s">
        <v>302</v>
      </c>
      <c r="H47" s="48">
        <v>0</v>
      </c>
      <c r="I47" s="48">
        <v>0</v>
      </c>
      <c r="J47" s="48">
        <v>0</v>
      </c>
      <c r="K47" s="48">
        <v>0</v>
      </c>
    </row>
    <row r="48" spans="1:11">
      <c r="A48" s="10" t="s">
        <v>304</v>
      </c>
      <c r="B48" s="48">
        <v>0</v>
      </c>
      <c r="C48" s="48">
        <v>-41158.26</v>
      </c>
      <c r="D48" s="48">
        <v>-41158.26</v>
      </c>
      <c r="E48" s="48">
        <v>-41158.26</v>
      </c>
      <c r="G48" s="10" t="s">
        <v>304</v>
      </c>
      <c r="H48" s="48">
        <v>0</v>
      </c>
      <c r="I48" s="48">
        <v>-41158.26</v>
      </c>
      <c r="J48" s="48">
        <v>0</v>
      </c>
      <c r="K48" s="48">
        <v>-41158.26</v>
      </c>
    </row>
    <row r="49" spans="1:11">
      <c r="A49" s="10" t="s">
        <v>230</v>
      </c>
      <c r="B49" s="9">
        <v>0.25741405476119872</v>
      </c>
      <c r="C49" s="9">
        <v>0.68684840506609524</v>
      </c>
      <c r="D49" s="9">
        <v>0.75029139096882891</v>
      </c>
      <c r="E49" s="9">
        <v>0.68684840506609524</v>
      </c>
      <c r="G49" s="10" t="s">
        <v>230</v>
      </c>
      <c r="H49" s="9">
        <v>0.25648697654896979</v>
      </c>
      <c r="I49" s="9">
        <v>0.64094529624442498</v>
      </c>
      <c r="J49" s="9">
        <v>0.25741405476119872</v>
      </c>
      <c r="K49" s="9">
        <v>0.64094529624442498</v>
      </c>
    </row>
    <row r="50" spans="1:11">
      <c r="A50" s="10" t="s">
        <v>237</v>
      </c>
      <c r="B50" s="11">
        <v>1854284.5271657417</v>
      </c>
      <c r="C50" s="11">
        <v>5718748.8034566389</v>
      </c>
      <c r="D50" s="11">
        <v>2581060.9440006102</v>
      </c>
      <c r="E50" s="11">
        <v>5718748.8034566389</v>
      </c>
      <c r="G50" s="10" t="s">
        <v>237</v>
      </c>
      <c r="H50" s="11">
        <v>1806858.6998069705</v>
      </c>
      <c r="I50" s="11">
        <v>5071352.242803135</v>
      </c>
      <c r="J50" s="11">
        <v>1464924.3456172338</v>
      </c>
      <c r="K50" s="11">
        <v>5071352.242803135</v>
      </c>
    </row>
    <row r="51" spans="1:11">
      <c r="A51" s="10" t="s">
        <v>238</v>
      </c>
      <c r="B51" s="11">
        <v>532501.45343950763</v>
      </c>
      <c r="C51" s="11">
        <v>835282.54971279949</v>
      </c>
      <c r="D51" s="11">
        <v>1681551.4337053895</v>
      </c>
      <c r="E51" s="11">
        <v>835282.54971279949</v>
      </c>
      <c r="G51" s="10" t="s">
        <v>238</v>
      </c>
      <c r="H51" s="11">
        <v>511955.26876968704</v>
      </c>
      <c r="I51" s="11">
        <v>-409870.94591213949</v>
      </c>
      <c r="J51" s="11">
        <v>-962379.12813818268</v>
      </c>
      <c r="K51" s="11">
        <v>-409870.94591213949</v>
      </c>
    </row>
    <row r="52" spans="1:11">
      <c r="A52" s="10" t="s">
        <v>239</v>
      </c>
      <c r="B52" s="11">
        <v>2386785.9806052493</v>
      </c>
      <c r="C52" s="11">
        <v>6554031.3531694384</v>
      </c>
      <c r="D52" s="11">
        <v>4262612.3777059997</v>
      </c>
      <c r="E52" s="11">
        <v>6554031.3531694384</v>
      </c>
      <c r="G52" s="10" t="s">
        <v>239</v>
      </c>
      <c r="H52" s="11">
        <v>2318813.9685766576</v>
      </c>
      <c r="I52" s="11">
        <v>4661481.2968909955</v>
      </c>
      <c r="J52" s="11">
        <v>502545.21747905109</v>
      </c>
      <c r="K52" s="11">
        <v>4661481.2968909955</v>
      </c>
    </row>
    <row r="53" spans="1:11">
      <c r="A53" s="10" t="s">
        <v>159</v>
      </c>
      <c r="B53" s="9">
        <v>1.784941761358831</v>
      </c>
      <c r="C53" s="9">
        <v>1.8888365538875602</v>
      </c>
      <c r="D53" s="9">
        <v>1.4481793788591646</v>
      </c>
      <c r="E53" s="9">
        <v>1.8888365538875602</v>
      </c>
      <c r="G53" s="10" t="s">
        <v>159</v>
      </c>
      <c r="H53" s="9">
        <v>1.7625878432900377</v>
      </c>
      <c r="I53" s="9">
        <v>1.5945223096747205</v>
      </c>
      <c r="J53" s="9">
        <v>1.1652719311140047</v>
      </c>
      <c r="K53" s="9">
        <v>1.5945223096747205</v>
      </c>
    </row>
    <row r="54" spans="1:11">
      <c r="A54" s="21"/>
    </row>
    <row r="56" spans="1:11">
      <c r="A56" s="17" t="s">
        <v>308</v>
      </c>
    </row>
    <row r="57" spans="1:11">
      <c r="A57" s="18" t="s">
        <v>289</v>
      </c>
      <c r="G57" s="18" t="s">
        <v>290</v>
      </c>
    </row>
    <row r="58" spans="1:11">
      <c r="A58" s="18" t="s">
        <v>249</v>
      </c>
      <c r="B58" s="18" t="s">
        <v>250</v>
      </c>
      <c r="C58" s="19" t="s">
        <v>251</v>
      </c>
      <c r="E58" s="48"/>
      <c r="F58" s="48"/>
      <c r="G58" s="18" t="s">
        <v>249</v>
      </c>
      <c r="H58" s="18" t="s">
        <v>250</v>
      </c>
      <c r="I58" s="19" t="s">
        <v>251</v>
      </c>
      <c r="K58" s="48"/>
    </row>
    <row r="59" spans="1:11">
      <c r="A59" s="18" t="s">
        <v>300</v>
      </c>
      <c r="B59" s="17" t="s">
        <v>299</v>
      </c>
      <c r="C59" s="17" t="s">
        <v>297</v>
      </c>
      <c r="D59" s="17" t="s">
        <v>307</v>
      </c>
      <c r="E59" s="17" t="s">
        <v>298</v>
      </c>
      <c r="G59" s="18" t="s">
        <v>300</v>
      </c>
      <c r="H59" s="17" t="s">
        <v>299</v>
      </c>
      <c r="I59" s="17" t="s">
        <v>297</v>
      </c>
      <c r="J59" s="17" t="s">
        <v>307</v>
      </c>
      <c r="K59" s="17" t="s">
        <v>298</v>
      </c>
    </row>
    <row r="60" spans="1:11">
      <c r="A60" s="10" t="s">
        <v>7</v>
      </c>
      <c r="B60" t="s">
        <v>8</v>
      </c>
      <c r="C60" t="s">
        <v>15</v>
      </c>
      <c r="D60" t="s">
        <v>18</v>
      </c>
      <c r="E60" t="s">
        <v>15</v>
      </c>
      <c r="G60" s="10" t="s">
        <v>7</v>
      </c>
      <c r="H60" t="s">
        <v>8</v>
      </c>
      <c r="I60" t="s">
        <v>8</v>
      </c>
      <c r="J60" t="s">
        <v>8</v>
      </c>
      <c r="K60" t="s">
        <v>8</v>
      </c>
    </row>
    <row r="61" spans="1:11">
      <c r="A61" s="10" t="s">
        <v>305</v>
      </c>
      <c r="B61" t="s">
        <v>8</v>
      </c>
      <c r="C61" t="s">
        <v>8</v>
      </c>
      <c r="D61" t="s">
        <v>8</v>
      </c>
      <c r="E61" t="s">
        <v>8</v>
      </c>
      <c r="G61" s="10" t="s">
        <v>305</v>
      </c>
      <c r="H61" t="s">
        <v>8</v>
      </c>
      <c r="I61" t="s">
        <v>8</v>
      </c>
      <c r="J61" t="s">
        <v>8</v>
      </c>
      <c r="K61" t="s">
        <v>8</v>
      </c>
    </row>
    <row r="62" spans="1:11">
      <c r="A62" s="10" t="s">
        <v>10</v>
      </c>
      <c r="B62" t="s">
        <v>8</v>
      </c>
      <c r="C62" t="s">
        <v>21</v>
      </c>
      <c r="D62" t="s">
        <v>21</v>
      </c>
      <c r="E62" t="s">
        <v>21</v>
      </c>
      <c r="G62" s="10" t="s">
        <v>10</v>
      </c>
      <c r="H62" t="s">
        <v>8</v>
      </c>
      <c r="I62" t="s">
        <v>20</v>
      </c>
      <c r="J62" t="s">
        <v>8</v>
      </c>
      <c r="K62" t="s">
        <v>20</v>
      </c>
    </row>
    <row r="63" spans="1:11">
      <c r="A63" s="10" t="s">
        <v>11</v>
      </c>
      <c r="B63" t="s">
        <v>12</v>
      </c>
      <c r="C63" t="s">
        <v>12</v>
      </c>
      <c r="D63" t="s">
        <v>12</v>
      </c>
      <c r="E63" t="s">
        <v>12</v>
      </c>
      <c r="G63" s="10" t="s">
        <v>11</v>
      </c>
      <c r="H63" t="s">
        <v>12</v>
      </c>
      <c r="I63" t="s">
        <v>12</v>
      </c>
      <c r="J63" t="s">
        <v>16</v>
      </c>
      <c r="K63" t="s">
        <v>12</v>
      </c>
    </row>
    <row r="64" spans="1:11">
      <c r="A64" s="10" t="s">
        <v>291</v>
      </c>
      <c r="B64" t="s">
        <v>8</v>
      </c>
      <c r="C64" t="s">
        <v>293</v>
      </c>
      <c r="D64" t="s">
        <v>293</v>
      </c>
      <c r="E64" t="s">
        <v>293</v>
      </c>
      <c r="G64" s="10" t="s">
        <v>291</v>
      </c>
      <c r="H64" t="s">
        <v>8</v>
      </c>
      <c r="I64" t="s">
        <v>8</v>
      </c>
      <c r="J64" t="s">
        <v>8</v>
      </c>
      <c r="K64" t="s">
        <v>8</v>
      </c>
    </row>
    <row r="65" spans="1:11">
      <c r="A65" s="10" t="s">
        <v>301</v>
      </c>
      <c r="B65" s="48">
        <v>-518433.40132487641</v>
      </c>
      <c r="C65" s="48">
        <v>-518433.40132487641</v>
      </c>
      <c r="D65" s="48">
        <v>-518433.40132487641</v>
      </c>
      <c r="E65" s="48">
        <v>-518433.40132487641</v>
      </c>
      <c r="G65" s="10" t="s">
        <v>301</v>
      </c>
      <c r="H65" s="48">
        <v>-518433.41692267626</v>
      </c>
      <c r="I65" s="48">
        <v>-518433.41692267626</v>
      </c>
      <c r="J65" s="48">
        <v>-518433.41692267626</v>
      </c>
      <c r="K65" s="48">
        <v>-518433.41692267626</v>
      </c>
    </row>
    <row r="66" spans="1:11">
      <c r="A66" s="10" t="s">
        <v>303</v>
      </c>
      <c r="B66" s="48">
        <v>0</v>
      </c>
      <c r="C66" s="48">
        <v>-4800000</v>
      </c>
      <c r="D66" s="48">
        <v>-6300000</v>
      </c>
      <c r="E66" s="48">
        <v>-4800000</v>
      </c>
      <c r="G66" s="10" t="s">
        <v>303</v>
      </c>
      <c r="H66" s="48">
        <v>0</v>
      </c>
      <c r="I66" s="48">
        <v>-950000</v>
      </c>
      <c r="J66" s="48">
        <v>-57000</v>
      </c>
      <c r="K66" s="48">
        <v>-950000</v>
      </c>
    </row>
    <row r="67" spans="1:11">
      <c r="A67" s="10" t="s">
        <v>302</v>
      </c>
      <c r="B67" s="48">
        <v>0</v>
      </c>
      <c r="C67" s="48">
        <v>-31875.589999999851</v>
      </c>
      <c r="D67" s="48">
        <v>-44837.120000000112</v>
      </c>
      <c r="E67" s="48">
        <v>-31875.589999999851</v>
      </c>
      <c r="G67" s="10" t="s">
        <v>302</v>
      </c>
      <c r="H67" s="48">
        <v>0</v>
      </c>
      <c r="I67" s="48">
        <v>0</v>
      </c>
      <c r="J67" s="48">
        <v>0</v>
      </c>
      <c r="K67" s="48">
        <v>0</v>
      </c>
    </row>
    <row r="68" spans="1:11">
      <c r="A68" s="10" t="s">
        <v>304</v>
      </c>
      <c r="B68" s="48">
        <v>0</v>
      </c>
      <c r="C68" s="48">
        <v>-41158.26</v>
      </c>
      <c r="D68" s="48">
        <v>-41158.26</v>
      </c>
      <c r="E68" s="48">
        <v>-41158.26</v>
      </c>
      <c r="G68" s="10" t="s">
        <v>304</v>
      </c>
      <c r="H68" s="48">
        <v>0</v>
      </c>
      <c r="I68" s="48">
        <v>0</v>
      </c>
      <c r="J68" s="48">
        <v>0</v>
      </c>
      <c r="K68" s="48">
        <v>0</v>
      </c>
    </row>
    <row r="69" spans="1:11">
      <c r="A69" s="10" t="s">
        <v>230</v>
      </c>
      <c r="B69" s="9">
        <v>0.12102113157738981</v>
      </c>
      <c r="C69" s="9">
        <v>0.58241760011277011</v>
      </c>
      <c r="D69" s="9">
        <v>0.62979979576213463</v>
      </c>
      <c r="E69" s="9">
        <v>0.58241760011277011</v>
      </c>
      <c r="G69" s="10" t="s">
        <v>230</v>
      </c>
      <c r="H69" s="9">
        <v>0.11947751074498869</v>
      </c>
      <c r="I69" s="9">
        <v>0.21115122668243735</v>
      </c>
      <c r="J69" s="9">
        <v>0.11995118283197004</v>
      </c>
      <c r="K69" s="9">
        <v>0.21115122668243735</v>
      </c>
    </row>
    <row r="70" spans="1:11">
      <c r="A70" s="10" t="s">
        <v>237</v>
      </c>
      <c r="B70" s="11">
        <v>230483.7449336641</v>
      </c>
      <c r="C70" s="11">
        <v>1553496.4673641485</v>
      </c>
      <c r="D70" s="11">
        <v>-471682.40258195135</v>
      </c>
      <c r="E70" s="11">
        <v>1553496.4673641485</v>
      </c>
      <c r="G70" s="10" t="s">
        <v>237</v>
      </c>
      <c r="H70" s="11">
        <v>136773.64276211266</v>
      </c>
      <c r="I70" s="11">
        <v>962700.04888658528</v>
      </c>
      <c r="J70" s="11">
        <v>164189.41049697553</v>
      </c>
      <c r="K70" s="11">
        <v>962700.04888658528</v>
      </c>
    </row>
    <row r="71" spans="1:11">
      <c r="A71" s="10" t="s">
        <v>238</v>
      </c>
      <c r="B71" s="11">
        <v>912332.74891643832</v>
      </c>
      <c r="C71" s="11">
        <v>978011.3021446052</v>
      </c>
      <c r="D71" s="11">
        <v>1432445.5361417118</v>
      </c>
      <c r="E71" s="11">
        <v>978011.3021446052</v>
      </c>
      <c r="G71" s="10" t="s">
        <v>238</v>
      </c>
      <c r="H71" s="11">
        <v>895330.47123134043</v>
      </c>
      <c r="I71" s="11">
        <v>766473.4210146335</v>
      </c>
      <c r="J71" s="11">
        <v>895376.36132835969</v>
      </c>
      <c r="K71" s="11">
        <v>766473.4210146335</v>
      </c>
    </row>
    <row r="72" spans="1:11">
      <c r="A72" s="10" t="s">
        <v>239</v>
      </c>
      <c r="B72" s="11">
        <v>1142816.4938501024</v>
      </c>
      <c r="C72" s="11">
        <v>2531507.7695087539</v>
      </c>
      <c r="D72" s="11">
        <v>960763.1335597604</v>
      </c>
      <c r="E72" s="11">
        <v>2531507.7695087539</v>
      </c>
      <c r="G72" s="10" t="s">
        <v>239</v>
      </c>
      <c r="H72" s="11">
        <v>1032104.1139934531</v>
      </c>
      <c r="I72" s="11">
        <v>1729173.4699012188</v>
      </c>
      <c r="J72" s="11">
        <v>1059565.7718253352</v>
      </c>
      <c r="K72" s="11">
        <v>1729173.4699012188</v>
      </c>
    </row>
    <row r="73" spans="1:11">
      <c r="A73" s="10" t="s">
        <v>159</v>
      </c>
      <c r="B73" s="9">
        <v>3.2043650947828421</v>
      </c>
      <c r="C73" s="9">
        <v>1.4731516952784229</v>
      </c>
      <c r="D73" s="9">
        <v>1.1399861961690965</v>
      </c>
      <c r="E73" s="9">
        <v>1.4731516952784229</v>
      </c>
      <c r="G73" s="10" t="s">
        <v>159</v>
      </c>
      <c r="H73" s="9">
        <v>2.9908132468000037</v>
      </c>
      <c r="I73" s="9">
        <v>2.1775634155241184</v>
      </c>
      <c r="J73" s="9">
        <v>2.8413351408955698</v>
      </c>
      <c r="K73" s="9">
        <v>2.1775634155241184</v>
      </c>
    </row>
    <row r="74" spans="1:11">
      <c r="B74"/>
      <c r="C74"/>
      <c r="D74" s="19"/>
      <c r="E74" s="19"/>
      <c r="F74" s="19"/>
      <c r="H74"/>
      <c r="I74"/>
      <c r="J74" s="19"/>
      <c r="K74" s="19"/>
    </row>
    <row r="75" spans="1:11">
      <c r="A75" s="18" t="s">
        <v>252</v>
      </c>
      <c r="B75" s="18" t="s">
        <v>253</v>
      </c>
      <c r="C75" s="19" t="s">
        <v>254</v>
      </c>
      <c r="E75" s="48"/>
      <c r="F75" s="48"/>
      <c r="G75" s="18" t="s">
        <v>252</v>
      </c>
      <c r="H75" s="18" t="s">
        <v>253</v>
      </c>
      <c r="I75" s="19" t="s">
        <v>254</v>
      </c>
      <c r="K75" s="48"/>
    </row>
    <row r="76" spans="1:11">
      <c r="A76" s="18" t="s">
        <v>300</v>
      </c>
      <c r="B76" s="17" t="s">
        <v>299</v>
      </c>
      <c r="C76" s="17" t="s">
        <v>297</v>
      </c>
      <c r="D76" s="17" t="s">
        <v>307</v>
      </c>
      <c r="E76" s="51" t="s">
        <v>298</v>
      </c>
      <c r="G76" s="18" t="s">
        <v>300</v>
      </c>
      <c r="H76" s="17" t="s">
        <v>299</v>
      </c>
      <c r="I76" s="17" t="s">
        <v>297</v>
      </c>
      <c r="J76" s="17" t="s">
        <v>307</v>
      </c>
      <c r="K76" s="17" t="s">
        <v>298</v>
      </c>
    </row>
    <row r="77" spans="1:11">
      <c r="A77" s="10" t="s">
        <v>7</v>
      </c>
      <c r="B77" t="s">
        <v>8</v>
      </c>
      <c r="C77" t="s">
        <v>15</v>
      </c>
      <c r="D77" t="s">
        <v>18</v>
      </c>
      <c r="E77" t="s">
        <v>15</v>
      </c>
      <c r="G77" s="10" t="s">
        <v>7</v>
      </c>
      <c r="H77" t="s">
        <v>8</v>
      </c>
      <c r="I77" t="s">
        <v>15</v>
      </c>
      <c r="J77" t="s">
        <v>8</v>
      </c>
      <c r="K77" t="s">
        <v>8</v>
      </c>
    </row>
    <row r="78" spans="1:11">
      <c r="A78" s="10" t="s">
        <v>305</v>
      </c>
      <c r="B78" t="s">
        <v>8</v>
      </c>
      <c r="C78" t="s">
        <v>8</v>
      </c>
      <c r="D78" t="s">
        <v>8</v>
      </c>
      <c r="E78" t="s">
        <v>8</v>
      </c>
      <c r="G78" s="10" t="s">
        <v>305</v>
      </c>
      <c r="H78" t="s">
        <v>8</v>
      </c>
      <c r="I78" t="s">
        <v>8</v>
      </c>
      <c r="J78" t="s">
        <v>8</v>
      </c>
      <c r="K78" t="s">
        <v>8</v>
      </c>
    </row>
    <row r="79" spans="1:11">
      <c r="A79" s="10" t="s">
        <v>10</v>
      </c>
      <c r="B79" t="s">
        <v>8</v>
      </c>
      <c r="C79" t="s">
        <v>21</v>
      </c>
      <c r="D79" t="s">
        <v>21</v>
      </c>
      <c r="E79" t="s">
        <v>21</v>
      </c>
      <c r="G79" s="10" t="s">
        <v>10</v>
      </c>
      <c r="H79" t="s">
        <v>8</v>
      </c>
      <c r="I79" t="s">
        <v>21</v>
      </c>
      <c r="J79" t="s">
        <v>8</v>
      </c>
      <c r="K79" t="s">
        <v>20</v>
      </c>
    </row>
    <row r="80" spans="1:11">
      <c r="A80" s="10" t="s">
        <v>11</v>
      </c>
      <c r="B80" t="s">
        <v>12</v>
      </c>
      <c r="C80" t="s">
        <v>12</v>
      </c>
      <c r="D80" t="s">
        <v>12</v>
      </c>
      <c r="E80" t="s">
        <v>12</v>
      </c>
      <c r="G80" s="10" t="s">
        <v>11</v>
      </c>
      <c r="H80" t="s">
        <v>12</v>
      </c>
      <c r="I80" t="s">
        <v>12</v>
      </c>
      <c r="J80" t="s">
        <v>12</v>
      </c>
      <c r="K80" t="s">
        <v>12</v>
      </c>
    </row>
    <row r="81" spans="1:11">
      <c r="A81" s="10" t="s">
        <v>291</v>
      </c>
      <c r="B81" t="s">
        <v>8</v>
      </c>
      <c r="C81" t="s">
        <v>293</v>
      </c>
      <c r="D81" t="s">
        <v>293</v>
      </c>
      <c r="E81" t="s">
        <v>293</v>
      </c>
      <c r="G81" s="10" t="s">
        <v>291</v>
      </c>
      <c r="H81" t="s">
        <v>8</v>
      </c>
      <c r="I81" t="s">
        <v>293</v>
      </c>
      <c r="J81" t="s">
        <v>8</v>
      </c>
      <c r="K81" t="s">
        <v>8</v>
      </c>
    </row>
    <row r="82" spans="1:11">
      <c r="A82" s="10" t="s">
        <v>301</v>
      </c>
      <c r="B82" s="48">
        <v>-1414120.2429865745</v>
      </c>
      <c r="C82" s="48">
        <v>-1414120.2429865745</v>
      </c>
      <c r="D82" s="48">
        <v>-1414120.2429865745</v>
      </c>
      <c r="E82" s="48">
        <v>-1414120.2429865745</v>
      </c>
      <c r="G82" s="10" t="s">
        <v>301</v>
      </c>
      <c r="H82" s="48">
        <v>-1414119.9899158319</v>
      </c>
      <c r="I82" s="48">
        <v>-1414119.9899158319</v>
      </c>
      <c r="J82" s="48">
        <v>-1414119.9899158319</v>
      </c>
      <c r="K82" s="48">
        <v>-1414119.9899158319</v>
      </c>
    </row>
    <row r="83" spans="1:11">
      <c r="A83" s="10" t="s">
        <v>303</v>
      </c>
      <c r="B83" s="48">
        <v>0</v>
      </c>
      <c r="C83" s="48">
        <v>-4800000</v>
      </c>
      <c r="D83" s="48">
        <v>-6300000</v>
      </c>
      <c r="E83" s="48">
        <v>-4800000</v>
      </c>
      <c r="G83" s="10" t="s">
        <v>303</v>
      </c>
      <c r="H83" s="48">
        <v>0</v>
      </c>
      <c r="I83" s="48">
        <v>-4800000</v>
      </c>
      <c r="J83" s="48">
        <v>0</v>
      </c>
      <c r="K83" s="48">
        <v>-950000</v>
      </c>
    </row>
    <row r="84" spans="1:11">
      <c r="A84" s="10" t="s">
        <v>302</v>
      </c>
      <c r="B84" s="48">
        <v>0</v>
      </c>
      <c r="C84" s="48">
        <v>-34482.879999999888</v>
      </c>
      <c r="D84" s="48">
        <v>-47876.44000000041</v>
      </c>
      <c r="E84" s="48">
        <v>-34482.879999999888</v>
      </c>
      <c r="G84" s="10" t="s">
        <v>302</v>
      </c>
      <c r="H84" s="48">
        <v>0</v>
      </c>
      <c r="I84" s="48">
        <v>0</v>
      </c>
      <c r="J84" s="48">
        <v>0</v>
      </c>
      <c r="K84" s="48">
        <v>0</v>
      </c>
    </row>
    <row r="85" spans="1:11">
      <c r="A85" s="10" t="s">
        <v>304</v>
      </c>
      <c r="B85" s="48">
        <v>0</v>
      </c>
      <c r="C85" s="48">
        <v>-41158.26</v>
      </c>
      <c r="D85" s="48">
        <v>-41158.26</v>
      </c>
      <c r="E85" s="48">
        <v>-41158.26</v>
      </c>
      <c r="G85" s="10" t="s">
        <v>304</v>
      </c>
      <c r="H85" s="48">
        <v>0</v>
      </c>
      <c r="I85" s="48">
        <v>-41158.26</v>
      </c>
      <c r="J85" s="48">
        <v>0</v>
      </c>
      <c r="K85" s="48">
        <v>0</v>
      </c>
    </row>
    <row r="86" spans="1:11">
      <c r="A86" s="10" t="s">
        <v>230</v>
      </c>
      <c r="B86" s="9">
        <v>0.18951144780676943</v>
      </c>
      <c r="C86" s="9">
        <v>0.64707060484477985</v>
      </c>
      <c r="D86" s="9">
        <v>0.69498984030750255</v>
      </c>
      <c r="E86" s="9">
        <v>0.64707060484477985</v>
      </c>
      <c r="G86" s="10" t="s">
        <v>230</v>
      </c>
      <c r="H86" s="9">
        <v>0.1889846889972604</v>
      </c>
      <c r="I86" s="9">
        <v>0.57825388711583581</v>
      </c>
      <c r="J86" s="9">
        <v>0.1889846889972604</v>
      </c>
      <c r="K86" s="9">
        <v>0.27888358838708849</v>
      </c>
    </row>
    <row r="87" spans="1:11">
      <c r="A87" s="10" t="s">
        <v>237</v>
      </c>
      <c r="B87" s="11">
        <v>841168.84254003619</v>
      </c>
      <c r="C87" s="11">
        <v>1943534.852351445</v>
      </c>
      <c r="D87" s="11">
        <v>-104411.0252785373</v>
      </c>
      <c r="E87" s="11">
        <v>1943534.852351445</v>
      </c>
      <c r="G87" s="10" t="s">
        <v>237</v>
      </c>
      <c r="H87" s="11">
        <v>770679.15656099957</v>
      </c>
      <c r="I87" s="11">
        <v>1795276.4347919871</v>
      </c>
      <c r="J87" s="11">
        <v>770679.15656099957</v>
      </c>
      <c r="K87" s="11">
        <v>1354246.4979762186</v>
      </c>
    </row>
    <row r="88" spans="1:11">
      <c r="A88" s="10" t="s">
        <v>238</v>
      </c>
      <c r="B88" s="11">
        <v>576456.9633599408</v>
      </c>
      <c r="C88" s="11">
        <v>772695.73870354705</v>
      </c>
      <c r="D88" s="11">
        <v>1242669.6635363102</v>
      </c>
      <c r="E88" s="11">
        <v>772695.73870354705</v>
      </c>
      <c r="G88" s="10" t="s">
        <v>238</v>
      </c>
      <c r="H88" s="11">
        <v>560648.39618624188</v>
      </c>
      <c r="I88" s="11">
        <v>-126741.52365715429</v>
      </c>
      <c r="J88" s="11">
        <v>560648.39618624188</v>
      </c>
      <c r="K88" s="11">
        <v>433507.49593258649</v>
      </c>
    </row>
    <row r="89" spans="1:11">
      <c r="A89" s="10" t="s">
        <v>239</v>
      </c>
      <c r="B89" s="11">
        <v>1417625.805899977</v>
      </c>
      <c r="C89" s="11">
        <v>2716230.5910549918</v>
      </c>
      <c r="D89" s="11">
        <v>1138258.6382577729</v>
      </c>
      <c r="E89" s="11">
        <v>2716230.5910549918</v>
      </c>
      <c r="G89" s="10" t="s">
        <v>239</v>
      </c>
      <c r="H89" s="11">
        <v>1331327.5527472415</v>
      </c>
      <c r="I89" s="11">
        <v>1668534.9111348328</v>
      </c>
      <c r="J89" s="11">
        <v>1331327.5527472415</v>
      </c>
      <c r="K89" s="11">
        <v>1787753.9939088051</v>
      </c>
    </row>
    <row r="90" spans="1:11">
      <c r="A90" s="10" t="s">
        <v>159</v>
      </c>
      <c r="B90" s="9">
        <v>2.002478970887227</v>
      </c>
      <c r="C90" s="9">
        <v>1.4346940488287474</v>
      </c>
      <c r="D90" s="9">
        <v>1.146645081767776</v>
      </c>
      <c r="E90" s="9">
        <v>1.4346940488287474</v>
      </c>
      <c r="G90" s="10" t="s">
        <v>159</v>
      </c>
      <c r="H90" s="9">
        <v>1.9414530324449211</v>
      </c>
      <c r="I90" s="9">
        <v>1.2685070313805498</v>
      </c>
      <c r="J90" s="9">
        <v>1.9414530324449211</v>
      </c>
      <c r="K90" s="9">
        <v>1.7562027314749167</v>
      </c>
    </row>
    <row r="92" spans="1:11">
      <c r="A92" s="18" t="s">
        <v>5</v>
      </c>
      <c r="B92" s="18" t="s">
        <v>255</v>
      </c>
      <c r="C92" s="19" t="s">
        <v>256</v>
      </c>
      <c r="E92" s="48"/>
      <c r="F92" s="48"/>
      <c r="G92" s="18" t="s">
        <v>5</v>
      </c>
      <c r="H92" s="18" t="s">
        <v>255</v>
      </c>
      <c r="I92" s="19" t="s">
        <v>256</v>
      </c>
      <c r="K92" s="48"/>
    </row>
    <row r="93" spans="1:11">
      <c r="A93" s="18" t="s">
        <v>300</v>
      </c>
      <c r="B93" s="17" t="s">
        <v>299</v>
      </c>
      <c r="C93" s="17" t="s">
        <v>297</v>
      </c>
      <c r="D93" s="17" t="s">
        <v>307</v>
      </c>
      <c r="E93" s="17" t="s">
        <v>298</v>
      </c>
      <c r="G93" s="18" t="s">
        <v>300</v>
      </c>
      <c r="H93" s="17" t="s">
        <v>299</v>
      </c>
      <c r="I93" s="17" t="s">
        <v>297</v>
      </c>
      <c r="J93" s="17" t="s">
        <v>307</v>
      </c>
      <c r="K93" s="17" t="s">
        <v>298</v>
      </c>
    </row>
    <row r="94" spans="1:11">
      <c r="A94" s="10" t="s">
        <v>7</v>
      </c>
      <c r="B94" t="s">
        <v>8</v>
      </c>
      <c r="C94" t="s">
        <v>13</v>
      </c>
      <c r="D94" t="s">
        <v>18</v>
      </c>
      <c r="E94" t="s">
        <v>13</v>
      </c>
      <c r="G94" s="10" t="s">
        <v>7</v>
      </c>
      <c r="H94" t="s">
        <v>8</v>
      </c>
      <c r="I94" t="s">
        <v>15</v>
      </c>
      <c r="J94" t="s">
        <v>8</v>
      </c>
      <c r="K94" t="s">
        <v>8</v>
      </c>
    </row>
    <row r="95" spans="1:11">
      <c r="A95" s="10" t="s">
        <v>305</v>
      </c>
      <c r="B95" t="s">
        <v>8</v>
      </c>
      <c r="C95" t="s">
        <v>8</v>
      </c>
      <c r="D95" t="s">
        <v>8</v>
      </c>
      <c r="E95" t="s">
        <v>8</v>
      </c>
      <c r="G95" s="10" t="s">
        <v>305</v>
      </c>
      <c r="H95" t="s">
        <v>8</v>
      </c>
      <c r="I95" t="s">
        <v>8</v>
      </c>
      <c r="J95" t="s">
        <v>8</v>
      </c>
      <c r="K95" t="s">
        <v>8</v>
      </c>
    </row>
    <row r="96" spans="1:11">
      <c r="A96" s="10" t="s">
        <v>10</v>
      </c>
      <c r="B96" t="s">
        <v>8</v>
      </c>
      <c r="C96" t="s">
        <v>21</v>
      </c>
      <c r="D96" t="s">
        <v>21</v>
      </c>
      <c r="E96" t="s">
        <v>21</v>
      </c>
      <c r="G96" s="10" t="s">
        <v>10</v>
      </c>
      <c r="H96" t="s">
        <v>8</v>
      </c>
      <c r="I96" t="s">
        <v>21</v>
      </c>
      <c r="J96" t="s">
        <v>8</v>
      </c>
      <c r="K96" t="s">
        <v>20</v>
      </c>
    </row>
    <row r="97" spans="1:11">
      <c r="A97" s="10" t="s">
        <v>11</v>
      </c>
      <c r="B97" t="s">
        <v>12</v>
      </c>
      <c r="C97" t="s">
        <v>12</v>
      </c>
      <c r="D97" t="s">
        <v>14</v>
      </c>
      <c r="E97" t="s">
        <v>12</v>
      </c>
      <c r="G97" s="10" t="s">
        <v>11</v>
      </c>
      <c r="H97" t="s">
        <v>12</v>
      </c>
      <c r="I97" t="s">
        <v>12</v>
      </c>
      <c r="J97" t="s">
        <v>12</v>
      </c>
      <c r="K97" t="s">
        <v>12</v>
      </c>
    </row>
    <row r="98" spans="1:11">
      <c r="A98" s="10" t="s">
        <v>291</v>
      </c>
      <c r="B98" t="s">
        <v>8</v>
      </c>
      <c r="C98" t="s">
        <v>293</v>
      </c>
      <c r="D98" t="s">
        <v>293</v>
      </c>
      <c r="E98" t="s">
        <v>293</v>
      </c>
      <c r="G98" s="10" t="s">
        <v>291</v>
      </c>
      <c r="H98" t="s">
        <v>8</v>
      </c>
      <c r="I98" t="s">
        <v>293</v>
      </c>
      <c r="J98" t="s">
        <v>8</v>
      </c>
      <c r="K98" t="s">
        <v>8</v>
      </c>
    </row>
    <row r="99" spans="1:11">
      <c r="A99" s="10" t="s">
        <v>301</v>
      </c>
      <c r="B99" s="48">
        <v>-3040717.2838828554</v>
      </c>
      <c r="C99" s="48">
        <v>-3040717.2838828554</v>
      </c>
      <c r="D99" s="48">
        <v>-3040717.2838828554</v>
      </c>
      <c r="E99" s="48">
        <v>-3040717.2838828554</v>
      </c>
      <c r="G99" s="10" t="s">
        <v>301</v>
      </c>
      <c r="H99" s="48">
        <v>-3040717.1960315853</v>
      </c>
      <c r="I99" s="48">
        <v>-3040717.1960315853</v>
      </c>
      <c r="J99" s="48">
        <v>-3040717.1960315853</v>
      </c>
      <c r="K99" s="48">
        <v>-3040717.1960315853</v>
      </c>
    </row>
    <row r="100" spans="1:11">
      <c r="A100" s="10" t="s">
        <v>303</v>
      </c>
      <c r="B100" s="48">
        <v>0</v>
      </c>
      <c r="C100" s="48">
        <v>-4300000</v>
      </c>
      <c r="D100" s="48">
        <v>-6420000</v>
      </c>
      <c r="E100" s="48">
        <v>-4300000</v>
      </c>
      <c r="G100" s="10" t="s">
        <v>303</v>
      </c>
      <c r="H100" s="48">
        <v>0</v>
      </c>
      <c r="I100" s="48">
        <v>-4800000</v>
      </c>
      <c r="J100" s="48">
        <v>0</v>
      </c>
      <c r="K100" s="48">
        <v>-950000</v>
      </c>
    </row>
    <row r="101" spans="1:11">
      <c r="A101" s="10" t="s">
        <v>302</v>
      </c>
      <c r="B101" s="48">
        <v>0</v>
      </c>
      <c r="C101" s="48">
        <v>-33002.129999999888</v>
      </c>
      <c r="D101" s="48">
        <v>-50234.30999999959</v>
      </c>
      <c r="E101" s="48">
        <v>-33002.129999999888</v>
      </c>
      <c r="G101" s="10" t="s">
        <v>302</v>
      </c>
      <c r="H101" s="48">
        <v>0</v>
      </c>
      <c r="I101" s="48">
        <v>0</v>
      </c>
      <c r="J101" s="48">
        <v>0</v>
      </c>
      <c r="K101" s="48">
        <v>0</v>
      </c>
    </row>
    <row r="102" spans="1:11">
      <c r="A102" s="10" t="s">
        <v>304</v>
      </c>
      <c r="B102" s="48">
        <v>0</v>
      </c>
      <c r="C102" s="48">
        <v>-41158.26</v>
      </c>
      <c r="D102" s="48">
        <v>-41158.26</v>
      </c>
      <c r="E102" s="48">
        <v>-41158.26</v>
      </c>
      <c r="G102" s="10" t="s">
        <v>304</v>
      </c>
      <c r="H102" s="48">
        <v>0</v>
      </c>
      <c r="I102" s="48">
        <v>-41158.26</v>
      </c>
      <c r="J102" s="48">
        <v>0</v>
      </c>
      <c r="K102" s="48">
        <v>0</v>
      </c>
    </row>
    <row r="103" spans="1:11">
      <c r="A103" s="10" t="s">
        <v>230</v>
      </c>
      <c r="B103" s="9">
        <v>0.25741405476119872</v>
      </c>
      <c r="C103" s="9">
        <v>0.68684840506609524</v>
      </c>
      <c r="D103" s="9">
        <v>0.75029139096882891</v>
      </c>
      <c r="E103" s="9">
        <v>0.68684840506609524</v>
      </c>
      <c r="G103" s="10" t="s">
        <v>230</v>
      </c>
      <c r="H103" s="9">
        <v>0.25648697654896979</v>
      </c>
      <c r="I103" s="9">
        <v>0.64094529624442498</v>
      </c>
      <c r="J103" s="9">
        <v>0.25648697654896979</v>
      </c>
      <c r="K103" s="9">
        <v>0.34558253788206494</v>
      </c>
    </row>
    <row r="104" spans="1:11">
      <c r="A104" s="10" t="s">
        <v>237</v>
      </c>
      <c r="B104" s="11">
        <v>1325964.5798128147</v>
      </c>
      <c r="C104" s="11">
        <v>2856126.2880882239</v>
      </c>
      <c r="D104" s="11">
        <v>22920.572103346931</v>
      </c>
      <c r="E104" s="11">
        <v>2856126.2880882239</v>
      </c>
      <c r="G104" s="10" t="s">
        <v>237</v>
      </c>
      <c r="H104" s="11">
        <v>1292051.2475680739</v>
      </c>
      <c r="I104" s="11">
        <v>2254356.7467523003</v>
      </c>
      <c r="J104" s="11">
        <v>1292051.2475680739</v>
      </c>
      <c r="K104" s="11">
        <v>1979335.7586566762</v>
      </c>
    </row>
    <row r="105" spans="1:11">
      <c r="A105" s="10" t="s">
        <v>238</v>
      </c>
      <c r="B105" s="11">
        <v>-456769.98611649498</v>
      </c>
      <c r="C105" s="11">
        <v>-249659.73961179703</v>
      </c>
      <c r="D105" s="11">
        <v>350581.72518797591</v>
      </c>
      <c r="E105" s="11">
        <v>-249659.73961179703</v>
      </c>
      <c r="G105" s="10" t="s">
        <v>238</v>
      </c>
      <c r="H105" s="11">
        <v>-471462.18287667353</v>
      </c>
      <c r="I105" s="11">
        <v>-1130643.0645072367</v>
      </c>
      <c r="J105" s="11">
        <v>-471462.18287667353</v>
      </c>
      <c r="K105" s="11">
        <v>-596412.67593058106</v>
      </c>
    </row>
    <row r="106" spans="1:11">
      <c r="A106" s="10" t="s">
        <v>239</v>
      </c>
      <c r="B106" s="11">
        <v>869194.59369631973</v>
      </c>
      <c r="C106" s="11">
        <v>2606466.5484764269</v>
      </c>
      <c r="D106" s="11">
        <v>373502.29729132284</v>
      </c>
      <c r="E106" s="11">
        <v>2606466.5484764269</v>
      </c>
      <c r="G106" s="10" t="s">
        <v>239</v>
      </c>
      <c r="H106" s="11">
        <v>820589.06469140039</v>
      </c>
      <c r="I106" s="11">
        <v>1123713.6822450636</v>
      </c>
      <c r="J106" s="11">
        <v>820589.06469140039</v>
      </c>
      <c r="K106" s="11">
        <v>1382923.0827260951</v>
      </c>
    </row>
    <row r="107" spans="1:11">
      <c r="A107" s="10" t="s">
        <v>159</v>
      </c>
      <c r="B107" s="9">
        <v>1.2858518278905555</v>
      </c>
      <c r="C107" s="9">
        <v>1.353480570954342</v>
      </c>
      <c r="D107" s="9">
        <v>1.0392707599869973</v>
      </c>
      <c r="E107" s="9">
        <v>1.353480570954342</v>
      </c>
      <c r="G107" s="10" t="s">
        <v>159</v>
      </c>
      <c r="H107" s="9">
        <v>1.2698669464435377</v>
      </c>
      <c r="I107" s="9">
        <v>1.1433177162433314</v>
      </c>
      <c r="J107" s="9">
        <v>1.2698669464435377</v>
      </c>
      <c r="K107" s="9">
        <v>1.3465349747412043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5:A11"/>
  <sheetViews>
    <sheetView workbookViewId="0">
      <selection activeCell="M17" sqref="M17"/>
    </sheetView>
  </sheetViews>
  <sheetFormatPr defaultRowHeight="15"/>
  <sheetData>
    <row r="5" spans="1:1">
      <c r="A5" t="s">
        <v>311</v>
      </c>
    </row>
    <row r="6" spans="1:1">
      <c r="A6" t="s">
        <v>312</v>
      </c>
    </row>
    <row r="7" spans="1:1">
      <c r="A7" t="s">
        <v>5</v>
      </c>
    </row>
    <row r="9" spans="1:1">
      <c r="A9" t="s">
        <v>313</v>
      </c>
    </row>
    <row r="10" spans="1:1">
      <c r="A10" t="s">
        <v>314</v>
      </c>
    </row>
    <row r="11" spans="1:1">
      <c r="A11" t="s">
        <v>315</v>
      </c>
    </row>
  </sheetData>
  <pageMargins left="0.7" right="0.7" top="0.75" bottom="0.75" header="0.3" footer="0.3"/>
  <pageSetup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K61" sqref="K61"/>
    </sheetView>
  </sheetViews>
  <sheetFormatPr defaultRowHeight="15"/>
  <sheetData/>
  <pageMargins left="0.7" right="0.7" top="0.75" bottom="0.75" header="0.3" footer="0.3"/>
  <pageSetup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topLeftCell="E1" workbookViewId="0">
      <selection activeCell="L30" sqref="L30"/>
    </sheetView>
  </sheetViews>
  <sheetFormatPr defaultRowHeight="15"/>
  <sheetData/>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2:L63"/>
  <sheetViews>
    <sheetView topLeftCell="A64" zoomScale="85" zoomScaleNormal="85" workbookViewId="0">
      <selection activeCell="I91" sqref="I91"/>
    </sheetView>
  </sheetViews>
  <sheetFormatPr defaultRowHeight="15"/>
  <cols>
    <col min="1" max="1" width="38.5703125" bestFit="1" customWidth="1"/>
    <col min="2" max="15" width="16.85546875" customWidth="1"/>
  </cols>
  <sheetData>
    <row r="12" spans="3:3">
      <c r="C12" t="s">
        <v>201</v>
      </c>
    </row>
    <row r="32" spans="2:3">
      <c r="B32" t="s">
        <v>372</v>
      </c>
      <c r="C32" t="s">
        <v>367</v>
      </c>
    </row>
    <row r="33" spans="1:12" s="1" customFormat="1">
      <c r="A33" t="s">
        <v>353</v>
      </c>
      <c r="B33" s="1">
        <f>MAX('Low-EE Detailed'!B15:P15)</f>
        <v>5673132.0448230663</v>
      </c>
      <c r="C33" s="1">
        <f>INDEX('Low-EE Detailed'!B$18:V$18,MATCH('Fuel Cost Sensitivity'!B33,'Low-EE Detailed'!B$15:V$15,0))</f>
        <v>5391467.2513248762</v>
      </c>
    </row>
    <row r="34" spans="1:12">
      <c r="A34" t="s">
        <v>354</v>
      </c>
      <c r="B34" s="1">
        <f>MAX('Med-EE Detailed'!B15:O15)</f>
        <v>6278821.326773989</v>
      </c>
      <c r="C34" s="1">
        <f>INDEX('Med-EE Detailed'!B$18:W$18,MATCH('Fuel Cost Sensitivity'!B34,'Med-EE Detailed'!B$15:W$15,0))</f>
        <v>6289761.3829865744</v>
      </c>
    </row>
    <row r="35" spans="1:12">
      <c r="A35" t="s">
        <v>355</v>
      </c>
      <c r="B35" s="1">
        <f>MAX('High-EE Detailed'!B15:P15)</f>
        <v>6554031.3531694384</v>
      </c>
      <c r="C35" s="1">
        <f>INDEX('High-EE Detailed'!B18:W18,MATCH('Fuel Cost Sensitivity'!B35,'High-EE Detailed'!B15:W15,0))</f>
        <v>7414877.6738828551</v>
      </c>
    </row>
    <row r="36" spans="1:12">
      <c r="C36" s="1"/>
    </row>
    <row r="37" spans="1:12">
      <c r="A37" t="s">
        <v>368</v>
      </c>
      <c r="B37" s="1">
        <f>MAX('Low-EE no Stoves Detailed'!B15:O15)</f>
        <v>3764477.7382334638</v>
      </c>
      <c r="C37" s="1">
        <f>INDEX('Low-EE no Stoves Detailed'!B$18:U$18,MATCH('Fuel Cost Sensitivity'!B37,'Low-EE no Stoves Detailed'!B$15:U$15,0))</f>
        <v>5859591.6769226762</v>
      </c>
    </row>
    <row r="38" spans="1:12">
      <c r="A38" t="s">
        <v>369</v>
      </c>
      <c r="B38" s="1">
        <f>MAX('Med-EE no Stoves Detailed'!B15:S15)</f>
        <v>4799940.1946053002</v>
      </c>
      <c r="C38" s="1">
        <f>INDEX('Med-EE no Stoves Detailed'!B$18:S$18,MATCH('Fuel Cost Sensitivity'!B38,'Med-EE no Stoves Detailed'!B$15:S$15,0))</f>
        <v>6255278.2499158317</v>
      </c>
    </row>
    <row r="39" spans="1:12">
      <c r="A39" t="s">
        <v>370</v>
      </c>
      <c r="B39" s="1">
        <f>MAX('High-EE no Stoves Detailed'!B15:U15)</f>
        <v>4661481.2968909955</v>
      </c>
      <c r="C39" s="1">
        <f>INDEX('High-EE no Stoves Detailed'!B$18:U$18,MATCH('Fuel Cost Sensitivity'!B39,'High-EE no Stoves Detailed'!B$15:U$15,0))</f>
        <v>7881875.4560315851</v>
      </c>
    </row>
    <row r="40" spans="1:12">
      <c r="C40" s="1"/>
    </row>
    <row r="44" spans="1:12">
      <c r="A44" t="s">
        <v>366</v>
      </c>
      <c r="B44" s="7" t="s">
        <v>365</v>
      </c>
      <c r="C44" s="7" t="s">
        <v>364</v>
      </c>
      <c r="D44" s="7" t="s">
        <v>356</v>
      </c>
      <c r="E44" s="7" t="s">
        <v>363</v>
      </c>
      <c r="F44" s="7" t="s">
        <v>362</v>
      </c>
      <c r="H44" s="7" t="s">
        <v>361</v>
      </c>
      <c r="I44" s="7" t="s">
        <v>360</v>
      </c>
      <c r="J44" s="7" t="s">
        <v>357</v>
      </c>
      <c r="K44" s="7" t="s">
        <v>359</v>
      </c>
      <c r="L44" s="7" t="s">
        <v>358</v>
      </c>
    </row>
    <row r="45" spans="1:12">
      <c r="A45" t="s">
        <v>353</v>
      </c>
      <c r="B45" s="1">
        <v>2135671.7071282198</v>
      </c>
      <c r="C45" s="1">
        <v>3904401.8759756424</v>
      </c>
      <c r="D45" s="1">
        <v>5673132.0448230663</v>
      </c>
      <c r="E45" s="1">
        <v>11568899.274314471</v>
      </c>
      <c r="F45" s="1">
        <v>17464666.503805876</v>
      </c>
      <c r="G45" s="1"/>
      <c r="H45" s="1">
        <v>582954.52349439845</v>
      </c>
      <c r="I45" s="1">
        <v>1266721.5294365536</v>
      </c>
      <c r="J45" s="1">
        <v>2531507.7695087539</v>
      </c>
      <c r="K45" s="1">
        <v>6747461.9030827619</v>
      </c>
      <c r="L45" s="1">
        <v>10963416.036656767</v>
      </c>
    </row>
    <row r="46" spans="1:12">
      <c r="A46" t="s">
        <v>354</v>
      </c>
      <c r="B46" s="1">
        <v>2327047.6801361549</v>
      </c>
      <c r="C46" s="20">
        <v>4302934.5034550745</v>
      </c>
      <c r="D46" s="1">
        <v>6278821.326773989</v>
      </c>
      <c r="E46" s="1">
        <v>12865110.737837046</v>
      </c>
      <c r="F46" s="1">
        <v>19451400.148900095</v>
      </c>
      <c r="G46" s="1"/>
      <c r="H46" s="1">
        <v>549273.03376367339</v>
      </c>
      <c r="I46" s="1">
        <v>1303310.4576791732</v>
      </c>
      <c r="J46" s="1">
        <v>2716230.5910549918</v>
      </c>
      <c r="K46" s="1">
        <v>7425964.3689743998</v>
      </c>
      <c r="L46" s="1">
        <v>12135698.146893809</v>
      </c>
    </row>
    <row r="47" spans="1:12">
      <c r="A47" t="s">
        <v>355</v>
      </c>
      <c r="B47" s="1">
        <v>2341673.5693105664</v>
      </c>
      <c r="C47" s="20">
        <v>4447852.4612400029</v>
      </c>
      <c r="D47" s="1">
        <v>6554031.3531694384</v>
      </c>
      <c r="E47" s="1">
        <v>13574627.659600889</v>
      </c>
      <c r="F47" s="1">
        <v>20595223.966032337</v>
      </c>
      <c r="G47" s="1"/>
      <c r="H47" s="1">
        <v>-305086.37572014355</v>
      </c>
      <c r="I47" s="1">
        <v>1100376.9659265063</v>
      </c>
      <c r="J47" s="1">
        <v>2606466.5484764269</v>
      </c>
      <c r="K47" s="1">
        <v>7626765.1569761671</v>
      </c>
      <c r="L47" s="1">
        <v>12647063.76547591</v>
      </c>
    </row>
    <row r="48" spans="1:12">
      <c r="B48" s="1"/>
      <c r="C48" s="20"/>
      <c r="D48" s="1"/>
      <c r="E48" s="1"/>
      <c r="F48" s="1"/>
      <c r="G48" s="1"/>
      <c r="H48" s="1"/>
      <c r="I48" s="1"/>
      <c r="J48" s="1"/>
      <c r="K48" s="1"/>
      <c r="L48" s="1"/>
    </row>
    <row r="49" spans="1:12">
      <c r="A49" t="s">
        <v>368</v>
      </c>
      <c r="B49" s="1">
        <v>1684317.5850208113</v>
      </c>
      <c r="C49" s="20">
        <v>2341242.9157374864</v>
      </c>
      <c r="D49" s="1">
        <v>3764477.7382334638</v>
      </c>
      <c r="E49" s="1">
        <v>9111966.3970968537</v>
      </c>
      <c r="F49" s="1">
        <v>14459455.055960242</v>
      </c>
      <c r="G49" s="1"/>
      <c r="H49" s="1">
        <v>789663.15489736875</v>
      </c>
      <c r="I49" s="1">
        <v>1259418.3123992954</v>
      </c>
      <c r="J49" s="1">
        <v>1729173.4699012188</v>
      </c>
      <c r="K49" s="1">
        <v>4860808.3449125867</v>
      </c>
      <c r="L49" s="1">
        <v>8684698.6102547012</v>
      </c>
    </row>
    <row r="50" spans="1:12">
      <c r="A50" t="s">
        <v>369</v>
      </c>
      <c r="B50" s="1">
        <v>1725796.6319505824</v>
      </c>
      <c r="C50" s="1">
        <v>3049423.523221083</v>
      </c>
      <c r="D50" s="1">
        <v>4799940.1946053002</v>
      </c>
      <c r="E50" s="1">
        <v>10634995.765886026</v>
      </c>
      <c r="F50" s="1">
        <v>16470051.337166745</v>
      </c>
      <c r="G50" s="1"/>
      <c r="H50" s="1">
        <v>555432.24399334122</v>
      </c>
      <c r="I50" s="1">
        <v>1178026.4616077209</v>
      </c>
      <c r="J50" s="1">
        <v>1800620.6792221006</v>
      </c>
      <c r="K50" s="1">
        <v>5841075.2604757864</v>
      </c>
      <c r="L50" s="1">
        <v>10013615.609816739</v>
      </c>
    </row>
    <row r="51" spans="1:12">
      <c r="A51" t="s">
        <v>370</v>
      </c>
      <c r="B51" s="1">
        <v>1322068.295446828</v>
      </c>
      <c r="C51" s="1">
        <v>2711948.2059548981</v>
      </c>
      <c r="D51" s="1">
        <v>4661481.2968909955</v>
      </c>
      <c r="E51" s="1">
        <v>11159924.933344644</v>
      </c>
      <c r="F51" s="1">
        <v>17658368.569798298</v>
      </c>
      <c r="G51" s="1"/>
      <c r="H51" s="1">
        <v>-162837.90184021485</v>
      </c>
      <c r="I51" s="1">
        <v>610042.59044294129</v>
      </c>
      <c r="J51" s="1">
        <v>1382923.0827260951</v>
      </c>
      <c r="K51" s="1">
        <v>5770630.5710021965</v>
      </c>
      <c r="L51" s="1">
        <v>10417547.459759332</v>
      </c>
    </row>
    <row r="52" spans="1:12">
      <c r="A52" s="11"/>
      <c r="B52" s="11"/>
      <c r="C52" s="11"/>
      <c r="D52" s="11"/>
    </row>
    <row r="53" spans="1:12">
      <c r="A53" s="11" t="s">
        <v>367</v>
      </c>
      <c r="B53" s="7" t="s">
        <v>365</v>
      </c>
      <c r="C53" s="7" t="s">
        <v>364</v>
      </c>
      <c r="D53" s="7" t="s">
        <v>356</v>
      </c>
      <c r="E53" s="7" t="s">
        <v>363</v>
      </c>
      <c r="F53" s="7" t="s">
        <v>362</v>
      </c>
      <c r="H53" s="7" t="s">
        <v>361</v>
      </c>
      <c r="I53" s="7" t="s">
        <v>360</v>
      </c>
      <c r="J53" s="7" t="s">
        <v>357</v>
      </c>
      <c r="K53" s="7" t="s">
        <v>359</v>
      </c>
      <c r="L53" s="7" t="s">
        <v>358</v>
      </c>
    </row>
    <row r="54" spans="1:12">
      <c r="A54" t="s">
        <v>353</v>
      </c>
      <c r="B54" s="1">
        <v>5391467.2513248762</v>
      </c>
      <c r="C54" s="1">
        <v>5391467.2513248762</v>
      </c>
      <c r="D54" s="1">
        <v>5391467.2513248762</v>
      </c>
      <c r="E54" s="1">
        <v>5391467.2513248762</v>
      </c>
      <c r="F54" s="1">
        <v>5391467.2513248762</v>
      </c>
      <c r="G54" s="1"/>
      <c r="H54" s="1">
        <v>518433.40132487641</v>
      </c>
      <c r="I54" s="1">
        <v>5391467.2513248762</v>
      </c>
      <c r="J54" s="1">
        <v>5391467.2513248762</v>
      </c>
      <c r="K54" s="1">
        <v>5391467.2513248762</v>
      </c>
      <c r="L54" s="1">
        <v>5391467.2513248762</v>
      </c>
    </row>
    <row r="55" spans="1:12">
      <c r="A55" t="s">
        <v>354</v>
      </c>
      <c r="B55" s="1">
        <v>6289761.3829865744</v>
      </c>
      <c r="C55" s="1">
        <v>6289761.3829865744</v>
      </c>
      <c r="D55" s="1">
        <v>6289761.3829865744</v>
      </c>
      <c r="E55" s="1">
        <v>6289761.3829865744</v>
      </c>
      <c r="F55" s="1">
        <v>6289761.3829865744</v>
      </c>
      <c r="G55" s="1"/>
      <c r="H55" s="1">
        <v>1414120.2429865745</v>
      </c>
      <c r="I55" s="1">
        <v>6289761.3829865744</v>
      </c>
      <c r="J55" s="1">
        <v>6289761.3829865744</v>
      </c>
      <c r="K55" s="1">
        <v>6289761.3829865744</v>
      </c>
      <c r="L55" s="1">
        <v>6289761.3829865744</v>
      </c>
    </row>
    <row r="56" spans="1:12">
      <c r="A56" t="s">
        <v>355</v>
      </c>
      <c r="B56" s="1">
        <v>7414877.6738828551</v>
      </c>
      <c r="C56" s="1">
        <v>7414877.6738828551</v>
      </c>
      <c r="D56" s="1">
        <v>7414877.6738828551</v>
      </c>
      <c r="E56" s="1">
        <v>7414877.6738828551</v>
      </c>
      <c r="F56" s="1">
        <v>7414877.6738828551</v>
      </c>
      <c r="G56" s="1"/>
      <c r="H56" s="1">
        <v>3040717.2838828554</v>
      </c>
      <c r="I56" s="1">
        <v>7414877.6738828551</v>
      </c>
      <c r="J56" s="1">
        <v>7414877.6738828551</v>
      </c>
      <c r="K56" s="1">
        <v>7414877.6738828551</v>
      </c>
      <c r="L56" s="1">
        <v>7414877.6738828551</v>
      </c>
    </row>
    <row r="57" spans="1:12">
      <c r="B57" s="1"/>
      <c r="C57" s="1"/>
      <c r="D57" s="1"/>
      <c r="E57" s="1"/>
      <c r="F57" s="1"/>
      <c r="G57" s="1"/>
      <c r="H57" s="1"/>
      <c r="I57" s="1"/>
      <c r="J57" s="1"/>
      <c r="K57" s="1"/>
      <c r="L57" s="1"/>
    </row>
    <row r="58" spans="1:12">
      <c r="A58" t="s">
        <v>368</v>
      </c>
      <c r="B58" s="1">
        <v>1468433.4169226764</v>
      </c>
      <c r="C58" s="1">
        <v>1468433.4169226764</v>
      </c>
      <c r="D58" s="1">
        <v>5859591.6769226762</v>
      </c>
      <c r="E58" s="1">
        <v>5859591.6769226762</v>
      </c>
      <c r="F58" s="1">
        <v>5859591.6769226762</v>
      </c>
      <c r="G58" s="1"/>
      <c r="H58" s="1">
        <v>1468433.4169226764</v>
      </c>
      <c r="I58" s="1">
        <v>1468433.4169226764</v>
      </c>
      <c r="J58" s="1">
        <v>1468433.4169226764</v>
      </c>
      <c r="K58" s="1">
        <v>5859591.6769226762</v>
      </c>
      <c r="L58" s="1">
        <v>5859591.6769226762</v>
      </c>
    </row>
    <row r="59" spans="1:12">
      <c r="A59" t="s">
        <v>369</v>
      </c>
      <c r="B59" s="1">
        <v>2421119.9899158319</v>
      </c>
      <c r="C59" s="1">
        <v>6255278.2499158317</v>
      </c>
      <c r="D59" s="1">
        <v>6255278.2499158317</v>
      </c>
      <c r="E59" s="1">
        <v>6255278.2499158317</v>
      </c>
      <c r="F59" s="1">
        <v>6255278.2499158317</v>
      </c>
      <c r="G59" s="1"/>
      <c r="H59" s="1">
        <v>2421119.9899158319</v>
      </c>
      <c r="I59" s="1">
        <v>2421119.9899158319</v>
      </c>
      <c r="J59" s="1">
        <v>2421119.9899158319</v>
      </c>
      <c r="K59" s="1">
        <v>6255278.2499158317</v>
      </c>
      <c r="L59" s="1">
        <v>6255278.2499158317</v>
      </c>
    </row>
    <row r="60" spans="1:12">
      <c r="A60" t="s">
        <v>370</v>
      </c>
      <c r="B60" s="1">
        <v>3990717.1960315853</v>
      </c>
      <c r="C60" s="1">
        <v>7881875.4560315851</v>
      </c>
      <c r="D60" s="1">
        <v>7881875.4560315851</v>
      </c>
      <c r="E60" s="1">
        <v>7881875.4560315851</v>
      </c>
      <c r="F60" s="1">
        <v>7881875.4560315851</v>
      </c>
      <c r="G60" s="1"/>
      <c r="H60" s="1">
        <v>3990717.1960315853</v>
      </c>
      <c r="I60" s="1">
        <v>3990717.1960315853</v>
      </c>
      <c r="J60" s="1">
        <v>3990717.1960315853</v>
      </c>
      <c r="K60" s="1">
        <v>7881875.4560315851</v>
      </c>
      <c r="L60" s="1">
        <v>7881875.4560315851</v>
      </c>
    </row>
    <row r="63" spans="1:12">
      <c r="A63" t="s">
        <v>371</v>
      </c>
      <c r="B63" s="7">
        <v>-0.3</v>
      </c>
      <c r="C63" s="7">
        <v>-0.15</v>
      </c>
      <c r="D63" s="7">
        <v>0</v>
      </c>
      <c r="E63" s="7">
        <v>0.5</v>
      </c>
      <c r="F63" s="7">
        <v>1</v>
      </c>
    </row>
  </sheetData>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L25" sqref="L25"/>
    </sheetView>
  </sheetViews>
  <sheetFormatPr defaultRowHeight="15"/>
  <sheetData/>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2"/>
  <sheetViews>
    <sheetView topLeftCell="A87" workbookViewId="0">
      <selection activeCell="C104" sqref="C104"/>
    </sheetView>
  </sheetViews>
  <sheetFormatPr defaultRowHeight="15"/>
  <cols>
    <col min="1" max="1" width="13.140625" style="18" customWidth="1"/>
    <col min="2" max="2" width="34.42578125" style="18" customWidth="1"/>
    <col min="3" max="3" width="19.28515625" style="18" bestFit="1" customWidth="1"/>
    <col min="4" max="4" width="13.42578125" style="18" bestFit="1" customWidth="1"/>
    <col min="5" max="5" width="46.5703125" style="19" customWidth="1"/>
    <col min="6" max="6" width="30.42578125" style="18" bestFit="1" customWidth="1"/>
    <col min="7" max="7" width="13.85546875" style="18" bestFit="1" customWidth="1"/>
    <col min="8" max="8" width="13.42578125" style="18" bestFit="1" customWidth="1"/>
    <col min="9" max="16384" width="9.140625" style="18"/>
  </cols>
  <sheetData>
    <row r="1" spans="1:5" ht="17.25" customHeight="1"/>
    <row r="2" spans="1:5">
      <c r="B2" s="18" t="s">
        <v>6</v>
      </c>
    </row>
    <row r="5" spans="1:5">
      <c r="B5" s="22" t="s">
        <v>3</v>
      </c>
      <c r="C5" s="22" t="s">
        <v>0</v>
      </c>
      <c r="D5" s="22" t="s">
        <v>1</v>
      </c>
      <c r="E5" s="23" t="s">
        <v>4</v>
      </c>
    </row>
    <row r="6" spans="1:5">
      <c r="B6" s="18" t="s">
        <v>2</v>
      </c>
      <c r="C6" s="24">
        <v>3.5000000000000003E-2</v>
      </c>
      <c r="D6" s="25">
        <v>7.0000000000000007E-2</v>
      </c>
      <c r="E6" s="26"/>
    </row>
    <row r="7" spans="1:5" ht="30">
      <c r="B7" s="18" t="s">
        <v>154</v>
      </c>
      <c r="C7" s="35">
        <v>7.4999999999999997E-3</v>
      </c>
      <c r="D7" s="21"/>
      <c r="E7" s="26" t="s">
        <v>163</v>
      </c>
    </row>
    <row r="8" spans="1:5" ht="30">
      <c r="B8" s="18" t="s">
        <v>99</v>
      </c>
      <c r="C8" s="27">
        <v>7.99</v>
      </c>
      <c r="D8" s="58" t="s">
        <v>351</v>
      </c>
      <c r="E8" s="26"/>
    </row>
    <row r="9" spans="1:5" ht="30">
      <c r="B9" s="18" t="s">
        <v>98</v>
      </c>
      <c r="C9" s="27">
        <v>7.163333333333334</v>
      </c>
      <c r="D9" s="58" t="s">
        <v>351</v>
      </c>
      <c r="E9" s="26"/>
    </row>
    <row r="10" spans="1:5">
      <c r="C10" s="29"/>
      <c r="D10" s="30"/>
      <c r="E10" s="18"/>
    </row>
    <row r="11" spans="1:5">
      <c r="A11" s="18" t="s">
        <v>50</v>
      </c>
      <c r="C11" s="29"/>
      <c r="E11" s="18"/>
    </row>
    <row r="12" spans="1:5">
      <c r="B12" s="18" t="s">
        <v>60</v>
      </c>
      <c r="C12" s="18" t="s">
        <v>120</v>
      </c>
      <c r="D12" s="30"/>
      <c r="E12" s="18"/>
    </row>
    <row r="13" spans="1:5">
      <c r="B13" s="18" t="s">
        <v>61</v>
      </c>
      <c r="C13" s="18" t="s">
        <v>121</v>
      </c>
      <c r="D13" s="30"/>
      <c r="E13" s="18" t="s">
        <v>309</v>
      </c>
    </row>
    <row r="14" spans="1:5">
      <c r="B14" s="18" t="s">
        <v>62</v>
      </c>
      <c r="C14" s="18" t="s">
        <v>122</v>
      </c>
      <c r="D14" s="30"/>
      <c r="E14" s="18"/>
    </row>
    <row r="15" spans="1:5">
      <c r="C15" s="29"/>
      <c r="E15" s="18" t="s">
        <v>189</v>
      </c>
    </row>
    <row r="16" spans="1:5">
      <c r="B16" s="18" t="s">
        <v>57</v>
      </c>
      <c r="C16" s="29" t="s">
        <v>52</v>
      </c>
      <c r="D16" s="30"/>
      <c r="E16" s="18" t="s">
        <v>190</v>
      </c>
    </row>
    <row r="17" spans="1:5">
      <c r="B17" s="18" t="s">
        <v>58</v>
      </c>
      <c r="C17" s="29" t="s">
        <v>54</v>
      </c>
      <c r="D17" s="30"/>
      <c r="E17" s="18" t="s">
        <v>191</v>
      </c>
    </row>
    <row r="18" spans="1:5">
      <c r="B18" s="18" t="s">
        <v>59</v>
      </c>
      <c r="C18" s="29" t="s">
        <v>56</v>
      </c>
      <c r="D18" s="30"/>
      <c r="E18" s="18" t="s">
        <v>192</v>
      </c>
    </row>
    <row r="19" spans="1:5">
      <c r="C19" s="29"/>
      <c r="D19" s="30"/>
      <c r="E19" s="18"/>
    </row>
    <row r="20" spans="1:5" ht="30">
      <c r="B20" s="26" t="s">
        <v>193</v>
      </c>
      <c r="C20" s="29"/>
      <c r="D20" s="30"/>
      <c r="E20" s="18" t="s">
        <v>194</v>
      </c>
    </row>
    <row r="21" spans="1:5">
      <c r="B21" s="26"/>
      <c r="C21" s="29"/>
      <c r="D21" s="30"/>
      <c r="E21" s="18"/>
    </row>
    <row r="22" spans="1:5">
      <c r="C22" s="27"/>
      <c r="D22" s="30"/>
      <c r="E22" s="18"/>
    </row>
    <row r="23" spans="1:5">
      <c r="A23" s="18" t="s">
        <v>35</v>
      </c>
      <c r="B23" s="18" t="s">
        <v>165</v>
      </c>
      <c r="C23" s="27"/>
      <c r="D23" s="30"/>
      <c r="E23" s="18" t="s">
        <v>164</v>
      </c>
    </row>
    <row r="24" spans="1:5">
      <c r="B24" s="18" t="s">
        <v>25</v>
      </c>
      <c r="C24" s="27">
        <v>900000</v>
      </c>
      <c r="D24" s="30"/>
      <c r="E24" s="18" t="s">
        <v>167</v>
      </c>
    </row>
    <row r="25" spans="1:5">
      <c r="B25" s="18" t="s">
        <v>333</v>
      </c>
      <c r="C25" s="54">
        <v>17500</v>
      </c>
      <c r="D25" s="30"/>
      <c r="E25" s="18" t="s">
        <v>168</v>
      </c>
    </row>
    <row r="26" spans="1:5">
      <c r="B26" s="18" t="s">
        <v>28</v>
      </c>
      <c r="C26" s="27" t="s">
        <v>29</v>
      </c>
      <c r="D26" s="30"/>
      <c r="E26" s="18" t="s">
        <v>169</v>
      </c>
    </row>
    <row r="27" spans="1:5">
      <c r="C27" s="27"/>
      <c r="D27" s="30"/>
      <c r="E27" s="18" t="s">
        <v>170</v>
      </c>
    </row>
    <row r="28" spans="1:5">
      <c r="B28" s="18" t="s">
        <v>166</v>
      </c>
      <c r="C28" s="27"/>
      <c r="D28" s="30"/>
      <c r="E28" s="18" t="s">
        <v>171</v>
      </c>
    </row>
    <row r="29" spans="1:5">
      <c r="B29" s="18" t="s">
        <v>25</v>
      </c>
      <c r="C29" s="27">
        <f>C24+665000</f>
        <v>1565000</v>
      </c>
      <c r="D29" s="30"/>
      <c r="E29" s="18" t="s">
        <v>334</v>
      </c>
    </row>
    <row r="30" spans="1:5">
      <c r="B30" s="18" t="s">
        <v>333</v>
      </c>
      <c r="C30" s="54">
        <v>34125</v>
      </c>
      <c r="D30" s="30"/>
      <c r="E30" s="18"/>
    </row>
    <row r="31" spans="1:5">
      <c r="B31" s="18" t="s">
        <v>28</v>
      </c>
      <c r="C31" s="27" t="s">
        <v>31</v>
      </c>
      <c r="D31" s="30"/>
      <c r="E31" s="18"/>
    </row>
    <row r="32" spans="1:5">
      <c r="C32" s="27"/>
      <c r="D32" s="30"/>
      <c r="E32" s="18"/>
    </row>
    <row r="33" spans="1:5">
      <c r="B33" s="18" t="s">
        <v>23</v>
      </c>
      <c r="C33" s="27"/>
      <c r="D33" s="30"/>
      <c r="E33" s="18"/>
    </row>
    <row r="34" spans="1:5">
      <c r="B34" s="18" t="s">
        <v>25</v>
      </c>
      <c r="C34" s="27">
        <f>C29+665000*0.95</f>
        <v>2196750</v>
      </c>
      <c r="D34" s="30"/>
      <c r="E34" s="26"/>
    </row>
    <row r="35" spans="1:5">
      <c r="B35" s="18" t="s">
        <v>333</v>
      </c>
      <c r="C35" s="54">
        <v>49875</v>
      </c>
      <c r="D35" s="30"/>
      <c r="E35" s="26"/>
    </row>
    <row r="36" spans="1:5">
      <c r="B36" s="18" t="s">
        <v>28</v>
      </c>
      <c r="C36" s="27" t="s">
        <v>32</v>
      </c>
      <c r="D36" s="30"/>
      <c r="E36" s="26"/>
    </row>
    <row r="37" spans="1:5">
      <c r="C37" s="27"/>
      <c r="D37" s="30"/>
      <c r="E37" s="26"/>
    </row>
    <row r="38" spans="1:5">
      <c r="B38" s="18" t="s">
        <v>24</v>
      </c>
      <c r="C38" s="27"/>
      <c r="D38" s="30"/>
      <c r="E38" s="26"/>
    </row>
    <row r="39" spans="1:5">
      <c r="B39" s="18" t="s">
        <v>25</v>
      </c>
      <c r="C39" s="27">
        <f>C34+665000*0.95*0.95</f>
        <v>2796912.5</v>
      </c>
      <c r="D39" s="30"/>
      <c r="E39" s="26"/>
    </row>
    <row r="40" spans="1:5">
      <c r="B40" s="18" t="s">
        <v>333</v>
      </c>
      <c r="C40" s="54">
        <v>64750</v>
      </c>
      <c r="D40" s="30"/>
      <c r="E40" s="26"/>
    </row>
    <row r="41" spans="1:5">
      <c r="B41" s="18" t="s">
        <v>28</v>
      </c>
      <c r="C41" s="29" t="s">
        <v>33</v>
      </c>
      <c r="D41" s="30"/>
      <c r="E41" s="26"/>
    </row>
    <row r="42" spans="1:5">
      <c r="C42" s="20"/>
      <c r="D42" s="21"/>
      <c r="E42" s="26"/>
    </row>
    <row r="43" spans="1:5">
      <c r="B43" s="18" t="s">
        <v>21</v>
      </c>
      <c r="C43" s="20"/>
      <c r="D43" s="21"/>
      <c r="E43" s="26"/>
    </row>
    <row r="44" spans="1:5">
      <c r="B44" s="18" t="s">
        <v>25</v>
      </c>
      <c r="C44" s="27">
        <f>C39+665000*0.95*0.95*0.95</f>
        <v>3367066.875</v>
      </c>
      <c r="D44" s="30"/>
      <c r="E44" s="26"/>
    </row>
    <row r="45" spans="1:5">
      <c r="B45" s="18" t="s">
        <v>333</v>
      </c>
      <c r="C45" s="54">
        <v>78750</v>
      </c>
      <c r="D45" s="21"/>
      <c r="E45" s="26"/>
    </row>
    <row r="46" spans="1:5">
      <c r="B46" s="18" t="s">
        <v>28</v>
      </c>
      <c r="C46" s="20" t="s">
        <v>34</v>
      </c>
      <c r="D46" s="21"/>
      <c r="E46" s="26"/>
    </row>
    <row r="47" spans="1:5">
      <c r="C47" s="20"/>
      <c r="D47" s="21"/>
      <c r="E47" s="26"/>
    </row>
    <row r="48" spans="1:5" ht="45">
      <c r="A48" s="18" t="s">
        <v>37</v>
      </c>
      <c r="B48" s="18" t="s">
        <v>13</v>
      </c>
      <c r="C48" s="20"/>
      <c r="D48" s="21"/>
      <c r="E48" s="31" t="s">
        <v>36</v>
      </c>
    </row>
    <row r="49" spans="2:5">
      <c r="B49" s="18" t="s">
        <v>25</v>
      </c>
      <c r="C49" s="20">
        <v>500000</v>
      </c>
      <c r="D49" s="21"/>
      <c r="E49" s="26"/>
    </row>
    <row r="50" spans="2:5">
      <c r="B50" s="18" t="s">
        <v>328</v>
      </c>
      <c r="C50" s="27">
        <v>0.54</v>
      </c>
      <c r="D50" s="21"/>
      <c r="E50" s="26"/>
    </row>
    <row r="51" spans="2:5">
      <c r="B51" s="18" t="s">
        <v>28</v>
      </c>
      <c r="C51" s="20" t="s">
        <v>29</v>
      </c>
      <c r="D51" s="21"/>
      <c r="E51" s="26"/>
    </row>
    <row r="52" spans="2:5">
      <c r="C52" s="20"/>
      <c r="D52" s="21"/>
      <c r="E52" s="26"/>
    </row>
    <row r="53" spans="2:5">
      <c r="B53" s="18" t="s">
        <v>15</v>
      </c>
      <c r="C53" s="20"/>
      <c r="D53" s="21"/>
      <c r="E53" s="26"/>
    </row>
    <row r="54" spans="2:5">
      <c r="B54" s="18" t="s">
        <v>25</v>
      </c>
      <c r="C54" s="20">
        <v>1000000</v>
      </c>
      <c r="D54" s="21"/>
      <c r="E54" s="26"/>
    </row>
    <row r="55" spans="2:5">
      <c r="B55" s="18" t="s">
        <v>328</v>
      </c>
      <c r="C55" s="27">
        <f>C$50*2</f>
        <v>1.08</v>
      </c>
      <c r="D55" s="21"/>
      <c r="E55" s="26"/>
    </row>
    <row r="56" spans="2:5">
      <c r="B56" s="18" t="s">
        <v>28</v>
      </c>
      <c r="C56" s="20" t="s">
        <v>31</v>
      </c>
      <c r="D56" s="21"/>
      <c r="E56" s="26"/>
    </row>
    <row r="57" spans="2:5">
      <c r="C57" s="20"/>
      <c r="D57" s="21"/>
      <c r="E57" s="26"/>
    </row>
    <row r="58" spans="2:5">
      <c r="B58" s="18" t="s">
        <v>17</v>
      </c>
      <c r="C58" s="20"/>
      <c r="D58" s="21"/>
      <c r="E58" s="26"/>
    </row>
    <row r="59" spans="2:5">
      <c r="B59" s="18" t="s">
        <v>25</v>
      </c>
      <c r="C59" s="20">
        <v>1500000</v>
      </c>
      <c r="D59" s="21"/>
      <c r="E59" s="26"/>
    </row>
    <row r="60" spans="2:5">
      <c r="B60" s="18" t="s">
        <v>328</v>
      </c>
      <c r="C60" s="27">
        <f>C$50*3</f>
        <v>1.62</v>
      </c>
      <c r="D60" s="21"/>
      <c r="E60" s="55"/>
    </row>
    <row r="61" spans="2:5">
      <c r="B61" s="18" t="s">
        <v>28</v>
      </c>
      <c r="C61" s="20" t="s">
        <v>32</v>
      </c>
      <c r="D61" s="21"/>
      <c r="E61" s="26"/>
    </row>
    <row r="62" spans="2:5">
      <c r="C62" s="20"/>
      <c r="D62" s="21"/>
      <c r="E62" s="26"/>
    </row>
    <row r="63" spans="2:5">
      <c r="B63" s="18" t="s">
        <v>18</v>
      </c>
      <c r="C63" s="20"/>
      <c r="D63" s="21"/>
      <c r="E63" s="26"/>
    </row>
    <row r="64" spans="2:5">
      <c r="B64" s="18" t="s">
        <v>25</v>
      </c>
      <c r="C64" s="20">
        <v>2500000</v>
      </c>
      <c r="D64" s="21"/>
      <c r="E64" s="26"/>
    </row>
    <row r="65" spans="1:5">
      <c r="B65" s="18" t="s">
        <v>328</v>
      </c>
      <c r="C65" s="27">
        <f>C$50*5</f>
        <v>2.7</v>
      </c>
      <c r="D65" s="28"/>
      <c r="E65" s="26"/>
    </row>
    <row r="66" spans="1:5">
      <c r="B66" s="18" t="s">
        <v>28</v>
      </c>
      <c r="C66" s="20" t="s">
        <v>34</v>
      </c>
      <c r="D66" s="21"/>
      <c r="E66" s="26"/>
    </row>
    <row r="67" spans="1:5">
      <c r="C67" s="20"/>
      <c r="D67" s="21"/>
      <c r="E67" s="26"/>
    </row>
    <row r="68" spans="1:5">
      <c r="A68" s="18" t="s">
        <v>38</v>
      </c>
      <c r="B68" s="18" t="s">
        <v>22</v>
      </c>
      <c r="C68" s="20"/>
      <c r="D68" s="21"/>
      <c r="E68" s="26"/>
    </row>
    <row r="69" spans="1:5">
      <c r="B69" s="18" t="s">
        <v>25</v>
      </c>
      <c r="C69" s="20">
        <v>10318615</v>
      </c>
      <c r="D69" s="21"/>
      <c r="E69" s="26"/>
    </row>
    <row r="70" spans="1:5">
      <c r="B70" s="18" t="s">
        <v>26</v>
      </c>
      <c r="C70" s="20" t="s">
        <v>27</v>
      </c>
      <c r="D70" s="21"/>
      <c r="E70" s="26"/>
    </row>
    <row r="71" spans="1:5">
      <c r="B71" s="18" t="s">
        <v>28</v>
      </c>
      <c r="C71" s="20" t="s">
        <v>39</v>
      </c>
      <c r="D71" s="21"/>
      <c r="E71" s="26"/>
    </row>
    <row r="72" spans="1:5">
      <c r="C72" s="20"/>
      <c r="D72" s="21"/>
      <c r="E72" s="18"/>
    </row>
    <row r="73" spans="1:5">
      <c r="A73" s="18" t="s">
        <v>40</v>
      </c>
      <c r="B73" s="18" t="s">
        <v>14</v>
      </c>
      <c r="C73" s="20"/>
      <c r="D73" s="21"/>
      <c r="E73" s="18"/>
    </row>
    <row r="74" spans="1:5">
      <c r="B74" s="18" t="s">
        <v>25</v>
      </c>
      <c r="C74" s="20">
        <f>137500 + 120000</f>
        <v>257500</v>
      </c>
      <c r="D74" s="21"/>
      <c r="E74" s="18" t="s">
        <v>172</v>
      </c>
    </row>
    <row r="75" spans="1:5">
      <c r="B75" s="18" t="s">
        <v>374</v>
      </c>
      <c r="C75" s="20">
        <v>3000</v>
      </c>
      <c r="D75" s="21"/>
      <c r="E75" s="18" t="s">
        <v>173</v>
      </c>
    </row>
    <row r="76" spans="1:5">
      <c r="B76" s="18" t="s">
        <v>41</v>
      </c>
      <c r="C76" s="35">
        <v>0.89439999999999997</v>
      </c>
      <c r="D76" s="21"/>
      <c r="E76" s="18" t="s">
        <v>174</v>
      </c>
    </row>
    <row r="77" spans="1:5">
      <c r="B77" s="18" t="s">
        <v>42</v>
      </c>
      <c r="C77" s="35">
        <v>0.89439999999999997</v>
      </c>
      <c r="D77" s="21"/>
      <c r="E77" s="18" t="s">
        <v>175</v>
      </c>
    </row>
    <row r="78" spans="1:5">
      <c r="B78" s="18" t="s">
        <v>43</v>
      </c>
      <c r="C78" s="20" t="s">
        <v>29</v>
      </c>
      <c r="D78" s="21"/>
      <c r="E78" s="18" t="s">
        <v>176</v>
      </c>
    </row>
    <row r="79" spans="1:5">
      <c r="B79" s="18" t="s">
        <v>44</v>
      </c>
      <c r="C79" s="20" t="s">
        <v>45</v>
      </c>
      <c r="D79" s="21"/>
      <c r="E79" s="18" t="s">
        <v>177</v>
      </c>
    </row>
    <row r="80" spans="1:5">
      <c r="B80" s="18" t="s">
        <v>46</v>
      </c>
      <c r="C80" s="18" t="s">
        <v>45</v>
      </c>
      <c r="E80" s="18"/>
    </row>
    <row r="81" spans="2:5">
      <c r="B81" s="18" t="s">
        <v>47</v>
      </c>
      <c r="C81" s="32">
        <v>0.1</v>
      </c>
      <c r="E81" s="18" t="s">
        <v>178</v>
      </c>
    </row>
    <row r="82" spans="2:5">
      <c r="B82" s="18" t="s">
        <v>48</v>
      </c>
      <c r="C82" s="32">
        <v>0.9</v>
      </c>
      <c r="D82" s="21"/>
      <c r="E82" s="18" t="s">
        <v>173</v>
      </c>
    </row>
    <row r="83" spans="2:5">
      <c r="B83" s="22" t="s">
        <v>49</v>
      </c>
      <c r="C83" s="18">
        <v>0.7</v>
      </c>
      <c r="D83" s="21"/>
      <c r="E83" s="18" t="s">
        <v>179</v>
      </c>
    </row>
    <row r="84" spans="2:5">
      <c r="D84" s="21"/>
      <c r="E84" s="18" t="s">
        <v>180</v>
      </c>
    </row>
    <row r="85" spans="2:5">
      <c r="B85" s="18" t="s">
        <v>19</v>
      </c>
      <c r="C85" s="20"/>
      <c r="D85" s="21"/>
      <c r="E85" s="18" t="s">
        <v>176</v>
      </c>
    </row>
    <row r="86" spans="2:5">
      <c r="B86" s="18" t="s">
        <v>25</v>
      </c>
      <c r="C86" s="20">
        <f>43750+35000+100000</f>
        <v>178750</v>
      </c>
      <c r="D86" s="21"/>
      <c r="E86" s="18" t="s">
        <v>181</v>
      </c>
    </row>
    <row r="87" spans="2:5">
      <c r="B87" s="18" t="s">
        <v>26</v>
      </c>
      <c r="C87" s="20">
        <v>1500</v>
      </c>
      <c r="D87" s="21"/>
      <c r="E87" s="18"/>
    </row>
    <row r="88" spans="2:5">
      <c r="B88" s="18" t="s">
        <v>41</v>
      </c>
      <c r="C88" s="35">
        <v>0.89439999999999997</v>
      </c>
      <c r="D88" s="21"/>
      <c r="E88" s="18"/>
    </row>
    <row r="89" spans="2:5">
      <c r="B89" s="18" t="s">
        <v>42</v>
      </c>
      <c r="C89" s="35">
        <v>0.89439999999999997</v>
      </c>
      <c r="D89" s="21"/>
      <c r="E89" s="18"/>
    </row>
    <row r="90" spans="2:5">
      <c r="B90" s="18" t="s">
        <v>43</v>
      </c>
      <c r="C90" s="20" t="s">
        <v>29</v>
      </c>
      <c r="D90" s="21"/>
      <c r="E90" s="18"/>
    </row>
    <row r="91" spans="2:5">
      <c r="B91" s="18" t="s">
        <v>44</v>
      </c>
      <c r="C91" s="20" t="s">
        <v>45</v>
      </c>
      <c r="D91" s="21"/>
      <c r="E91" s="18"/>
    </row>
    <row r="92" spans="2:5">
      <c r="B92" s="18" t="s">
        <v>46</v>
      </c>
      <c r="C92" s="18" t="s">
        <v>45</v>
      </c>
      <c r="D92" s="21"/>
      <c r="E92" s="18"/>
    </row>
    <row r="93" spans="2:5">
      <c r="B93" s="18" t="s">
        <v>47</v>
      </c>
      <c r="C93" s="32">
        <v>0.1</v>
      </c>
      <c r="E93" s="18"/>
    </row>
    <row r="94" spans="2:5">
      <c r="B94" s="18" t="s">
        <v>48</v>
      </c>
      <c r="C94" s="32">
        <v>0.9</v>
      </c>
      <c r="E94" s="18"/>
    </row>
    <row r="95" spans="2:5">
      <c r="B95" s="22" t="s">
        <v>49</v>
      </c>
      <c r="C95" s="18">
        <v>0.7</v>
      </c>
      <c r="E95" s="18"/>
    </row>
    <row r="97" spans="1:4">
      <c r="A97" s="18" t="s">
        <v>182</v>
      </c>
    </row>
    <row r="98" spans="1:4">
      <c r="B98" s="18" t="s">
        <v>185</v>
      </c>
      <c r="D98" s="34" t="s">
        <v>184</v>
      </c>
    </row>
    <row r="99" spans="1:4">
      <c r="B99" s="18" t="s">
        <v>186</v>
      </c>
      <c r="C99" s="32">
        <v>0.98</v>
      </c>
      <c r="D99" s="34" t="s">
        <v>183</v>
      </c>
    </row>
    <row r="100" spans="1:4">
      <c r="B100" s="18" t="s">
        <v>187</v>
      </c>
      <c r="C100" s="33">
        <v>10000</v>
      </c>
    </row>
    <row r="101" spans="1:4">
      <c r="B101" s="18" t="s">
        <v>188</v>
      </c>
      <c r="C101" s="33">
        <v>3000</v>
      </c>
    </row>
    <row r="102" spans="1:4">
      <c r="B102" s="18" t="s">
        <v>195</v>
      </c>
      <c r="C102" s="18">
        <v>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92"/>
  <sheetViews>
    <sheetView workbookViewId="0">
      <selection activeCell="G229" sqref="G229"/>
    </sheetView>
  </sheetViews>
  <sheetFormatPr defaultRowHeight="15"/>
  <cols>
    <col min="1" max="1" width="44.42578125" customWidth="1"/>
    <col min="2" max="2" width="27.42578125" customWidth="1"/>
    <col min="3" max="14" width="16.85546875" customWidth="1"/>
  </cols>
  <sheetData>
    <row r="1" spans="1:14">
      <c r="A1" t="s">
        <v>151</v>
      </c>
      <c r="B1">
        <v>45</v>
      </c>
    </row>
    <row r="2" spans="1:14">
      <c r="A2" t="s">
        <v>63</v>
      </c>
      <c r="B2" s="2">
        <v>219000</v>
      </c>
    </row>
    <row r="3" spans="1:14">
      <c r="A3" t="s">
        <v>104</v>
      </c>
    </row>
    <row r="4" spans="1:14">
      <c r="A4" t="s">
        <v>105</v>
      </c>
    </row>
    <row r="5" spans="1:14">
      <c r="A5" t="s">
        <v>106</v>
      </c>
      <c r="B5" t="s">
        <v>107</v>
      </c>
    </row>
    <row r="6" spans="1:14">
      <c r="A6" t="s">
        <v>108</v>
      </c>
    </row>
    <row r="7" spans="1:14">
      <c r="A7" t="s">
        <v>51</v>
      </c>
      <c r="B7" t="s">
        <v>64</v>
      </c>
    </row>
    <row r="8" spans="1:14">
      <c r="A8" t="s">
        <v>55</v>
      </c>
      <c r="B8" t="s">
        <v>64</v>
      </c>
      <c r="E8" t="s">
        <v>201</v>
      </c>
    </row>
    <row r="9" spans="1:14">
      <c r="A9" t="s">
        <v>53</v>
      </c>
      <c r="B9" t="s">
        <v>64</v>
      </c>
    </row>
    <row r="10" spans="1:14">
      <c r="A10" t="s">
        <v>65</v>
      </c>
      <c r="B10" t="s">
        <v>64</v>
      </c>
    </row>
    <row r="11" spans="1:14">
      <c r="A11" t="s">
        <v>66</v>
      </c>
    </row>
    <row r="12" spans="1:14">
      <c r="A12" t="s">
        <v>30</v>
      </c>
    </row>
    <row r="13" spans="1:14">
      <c r="A13" t="s">
        <v>67</v>
      </c>
      <c r="B13" s="9">
        <v>0.20557123999999999</v>
      </c>
      <c r="C13" s="9"/>
      <c r="D13" s="9"/>
      <c r="E13" s="9"/>
      <c r="F13" s="9"/>
      <c r="G13" s="9"/>
      <c r="H13" s="9"/>
      <c r="I13" s="9"/>
      <c r="J13" s="9"/>
      <c r="K13" s="9"/>
      <c r="L13" s="9"/>
      <c r="M13" s="9"/>
      <c r="N13" s="9"/>
    </row>
    <row r="14" spans="1:14">
      <c r="A14" t="s">
        <v>68</v>
      </c>
      <c r="B14" s="7">
        <v>1</v>
      </c>
      <c r="C14" s="7"/>
      <c r="D14" s="7"/>
      <c r="E14" s="7"/>
      <c r="F14" s="7"/>
      <c r="G14" s="7"/>
      <c r="H14" s="7"/>
      <c r="I14" s="7"/>
      <c r="J14" s="7"/>
      <c r="K14" s="7"/>
      <c r="L14" s="7"/>
      <c r="M14" s="7"/>
      <c r="N14" s="7"/>
    </row>
    <row r="15" spans="1:14">
      <c r="A15" t="s">
        <v>69</v>
      </c>
      <c r="B15" s="5">
        <v>14457633.539999999</v>
      </c>
      <c r="C15" s="5">
        <f>B15+B16</f>
        <v>70329066.629999995</v>
      </c>
    </row>
    <row r="16" spans="1:14">
      <c r="A16" t="s">
        <v>71</v>
      </c>
      <c r="B16" s="5">
        <v>55871433.090000004</v>
      </c>
    </row>
    <row r="17" spans="1:14">
      <c r="A17" t="s">
        <v>72</v>
      </c>
    </row>
    <row r="18" spans="1:14">
      <c r="A18" t="s">
        <v>73</v>
      </c>
      <c r="B18" s="9">
        <v>0.20557123999999999</v>
      </c>
      <c r="C18" s="9"/>
      <c r="D18" s="9"/>
      <c r="E18" s="9"/>
      <c r="F18" s="9"/>
      <c r="G18" s="9"/>
      <c r="H18" s="9"/>
      <c r="I18" s="9"/>
      <c r="J18" s="9"/>
      <c r="K18" s="9"/>
      <c r="L18" s="9"/>
      <c r="M18" s="9"/>
      <c r="N18" s="9"/>
    </row>
    <row r="19" spans="1:14">
      <c r="A19" t="s">
        <v>74</v>
      </c>
      <c r="B19" s="7">
        <v>1</v>
      </c>
      <c r="C19" s="7"/>
      <c r="D19" s="7"/>
      <c r="E19" s="7"/>
      <c r="F19" s="7"/>
      <c r="G19" s="7"/>
      <c r="H19" s="7"/>
      <c r="I19" s="7"/>
      <c r="J19" s="7"/>
      <c r="K19" s="7"/>
      <c r="L19" s="7"/>
      <c r="M19" s="7"/>
      <c r="N19" s="7"/>
    </row>
    <row r="20" spans="1:14">
      <c r="A20" t="s">
        <v>75</v>
      </c>
      <c r="B20" s="5">
        <v>14457633.539999999</v>
      </c>
    </row>
    <row r="21" spans="1:14">
      <c r="A21" t="s">
        <v>76</v>
      </c>
      <c r="B21" s="5">
        <v>55871433.090000004</v>
      </c>
    </row>
    <row r="22" spans="1:14">
      <c r="A22" t="s">
        <v>77</v>
      </c>
    </row>
    <row r="23" spans="1:14">
      <c r="A23" t="s">
        <v>7</v>
      </c>
      <c r="B23" t="s">
        <v>8</v>
      </c>
    </row>
    <row r="24" spans="1:14">
      <c r="A24" t="s">
        <v>9</v>
      </c>
      <c r="B24" t="s">
        <v>8</v>
      </c>
    </row>
    <row r="25" spans="1:14">
      <c r="A25" t="s">
        <v>10</v>
      </c>
      <c r="B25" t="s">
        <v>8</v>
      </c>
    </row>
    <row r="26" spans="1:14">
      <c r="A26" t="s">
        <v>11</v>
      </c>
      <c r="B26" t="s">
        <v>12</v>
      </c>
    </row>
    <row r="27" spans="1:14">
      <c r="A27" t="s">
        <v>78</v>
      </c>
    </row>
    <row r="28" spans="1:14">
      <c r="A28" t="s">
        <v>79</v>
      </c>
      <c r="B28" s="8">
        <v>0</v>
      </c>
      <c r="C28" s="6"/>
      <c r="D28" s="6"/>
      <c r="E28" s="6"/>
      <c r="F28" s="6"/>
      <c r="G28" s="6"/>
      <c r="H28" s="6"/>
      <c r="I28" s="6"/>
      <c r="J28" s="6"/>
      <c r="K28" s="6"/>
      <c r="L28" s="6"/>
      <c r="M28" s="6"/>
      <c r="N28" s="6"/>
    </row>
    <row r="29" spans="1:14">
      <c r="A29" t="s">
        <v>80</v>
      </c>
      <c r="B29" s="9">
        <v>0.99999932999999996</v>
      </c>
      <c r="C29" s="9"/>
      <c r="D29" s="9"/>
      <c r="E29" s="9"/>
      <c r="F29" s="9"/>
      <c r="G29" s="9"/>
      <c r="H29" s="9"/>
      <c r="I29" s="9"/>
      <c r="J29" s="9"/>
      <c r="K29" s="9"/>
      <c r="L29" s="9"/>
      <c r="M29" s="9"/>
      <c r="N29" s="9"/>
    </row>
    <row r="30" spans="1:14">
      <c r="A30" t="s">
        <v>81</v>
      </c>
      <c r="B30">
        <v>14.77</v>
      </c>
    </row>
    <row r="31" spans="1:14">
      <c r="A31" t="s">
        <v>82</v>
      </c>
      <c r="B31" s="5">
        <v>14943.28</v>
      </c>
    </row>
    <row r="32" spans="1:14">
      <c r="A32" t="s">
        <v>83</v>
      </c>
      <c r="B32">
        <v>0</v>
      </c>
      <c r="C32" s="5"/>
      <c r="D32" s="5"/>
      <c r="E32" s="5"/>
      <c r="F32" s="5"/>
      <c r="G32" s="5"/>
      <c r="H32" s="5"/>
      <c r="I32" s="5"/>
      <c r="J32" s="5"/>
      <c r="K32" s="5"/>
      <c r="L32" s="5"/>
      <c r="M32" s="5"/>
      <c r="N32" s="5"/>
    </row>
    <row r="33" spans="1:14">
      <c r="A33" t="s">
        <v>84</v>
      </c>
      <c r="B33">
        <v>0.5847</v>
      </c>
    </row>
    <row r="34" spans="1:14">
      <c r="A34" t="s">
        <v>25</v>
      </c>
    </row>
    <row r="35" spans="1:14">
      <c r="A35" t="s">
        <v>85</v>
      </c>
      <c r="B35" s="8">
        <v>0</v>
      </c>
      <c r="C35" s="8"/>
      <c r="D35" s="8"/>
      <c r="E35" s="8"/>
      <c r="F35" s="8"/>
      <c r="G35" s="8"/>
      <c r="H35" s="8"/>
      <c r="I35" s="8"/>
      <c r="J35" s="8"/>
      <c r="K35" s="8"/>
      <c r="L35" s="8"/>
      <c r="M35" s="8"/>
      <c r="N35" s="8"/>
    </row>
    <row r="36" spans="1:14">
      <c r="A36" t="s">
        <v>86</v>
      </c>
      <c r="B36" s="8">
        <v>0</v>
      </c>
      <c r="C36" s="8"/>
      <c r="D36" s="8"/>
      <c r="E36" s="8"/>
      <c r="F36" s="8"/>
      <c r="G36" s="8"/>
      <c r="H36" s="8"/>
      <c r="I36" s="8"/>
      <c r="J36" s="8"/>
      <c r="K36" s="8"/>
      <c r="L36" s="8"/>
      <c r="M36" s="8"/>
      <c r="N36" s="8"/>
    </row>
    <row r="37" spans="1:14">
      <c r="A37" t="s">
        <v>87</v>
      </c>
      <c r="B37" s="8">
        <v>0</v>
      </c>
      <c r="C37" s="8"/>
      <c r="D37" s="8"/>
      <c r="E37" s="8"/>
      <c r="F37" s="8"/>
      <c r="G37" s="8"/>
      <c r="H37" s="8"/>
      <c r="I37" s="8"/>
      <c r="J37" s="8"/>
      <c r="K37" s="8"/>
      <c r="L37" s="8"/>
      <c r="M37" s="8"/>
      <c r="N37" s="8"/>
    </row>
    <row r="38" spans="1:14">
      <c r="A38" t="s">
        <v>88</v>
      </c>
    </row>
    <row r="39" spans="1:14">
      <c r="A39" t="s">
        <v>89</v>
      </c>
      <c r="B39" s="2">
        <v>1278</v>
      </c>
    </row>
    <row r="40" spans="1:14">
      <c r="A40" t="s">
        <v>96</v>
      </c>
    </row>
    <row r="41" spans="1:14">
      <c r="A41" t="s">
        <v>97</v>
      </c>
    </row>
    <row r="42" spans="1:14">
      <c r="A42" t="s">
        <v>90</v>
      </c>
      <c r="B42" s="9">
        <v>0.3488</v>
      </c>
      <c r="C42" s="9"/>
      <c r="D42" s="9"/>
      <c r="E42" s="9"/>
      <c r="F42" s="9"/>
      <c r="G42" s="9"/>
      <c r="H42" s="9"/>
      <c r="I42" s="9"/>
      <c r="J42" s="9"/>
      <c r="K42" s="9"/>
      <c r="L42" s="9"/>
      <c r="M42" s="9"/>
      <c r="N42" s="9"/>
    </row>
    <row r="43" spans="1:14">
      <c r="A43" t="s">
        <v>91</v>
      </c>
      <c r="B43" s="9">
        <v>0.5847</v>
      </c>
      <c r="C43" s="9"/>
      <c r="D43" s="9"/>
      <c r="E43" s="9"/>
      <c r="F43" s="9"/>
      <c r="G43" s="9"/>
      <c r="H43" s="9"/>
      <c r="I43" s="9"/>
      <c r="J43" s="9"/>
      <c r="K43" s="9"/>
      <c r="L43" s="9"/>
      <c r="M43" s="9"/>
      <c r="N43" s="9"/>
    </row>
    <row r="44" spans="1:14">
      <c r="A44" t="s">
        <v>92</v>
      </c>
      <c r="B44" s="9"/>
      <c r="C44" s="9"/>
      <c r="D44" s="9"/>
      <c r="E44" s="9"/>
      <c r="F44" s="9"/>
      <c r="H44" s="9"/>
      <c r="I44" s="9"/>
      <c r="J44" s="9"/>
    </row>
    <row r="45" spans="1:14">
      <c r="A45" t="s">
        <v>51</v>
      </c>
      <c r="B45" s="9" t="s">
        <v>70</v>
      </c>
    </row>
    <row r="46" spans="1:14">
      <c r="A46" t="s">
        <v>55</v>
      </c>
      <c r="B46" t="s">
        <v>70</v>
      </c>
    </row>
    <row r="47" spans="1:14">
      <c r="A47" t="s">
        <v>53</v>
      </c>
      <c r="B47" t="s">
        <v>70</v>
      </c>
    </row>
    <row r="48" spans="1:14">
      <c r="A48" t="s">
        <v>65</v>
      </c>
      <c r="B48" t="s">
        <v>70</v>
      </c>
    </row>
    <row r="49" spans="1:2">
      <c r="A49" t="s">
        <v>93</v>
      </c>
    </row>
    <row r="50" spans="1:2">
      <c r="A50" t="s">
        <v>51</v>
      </c>
      <c r="B50" t="s">
        <v>70</v>
      </c>
    </row>
    <row r="51" spans="1:2">
      <c r="A51" t="s">
        <v>55</v>
      </c>
      <c r="B51" t="s">
        <v>70</v>
      </c>
    </row>
    <row r="52" spans="1:2">
      <c r="A52" t="s">
        <v>53</v>
      </c>
      <c r="B52" t="s">
        <v>70</v>
      </c>
    </row>
    <row r="53" spans="1:2">
      <c r="A53" t="s">
        <v>65</v>
      </c>
      <c r="B53" t="s">
        <v>70</v>
      </c>
    </row>
    <row r="54" spans="1:2">
      <c r="A54" t="s">
        <v>94</v>
      </c>
    </row>
    <row r="55" spans="1:2">
      <c r="A55" t="s">
        <v>51</v>
      </c>
      <c r="B55" t="s">
        <v>70</v>
      </c>
    </row>
    <row r="56" spans="1:2">
      <c r="A56" t="s">
        <v>55</v>
      </c>
      <c r="B56" t="s">
        <v>70</v>
      </c>
    </row>
    <row r="57" spans="1:2">
      <c r="A57" t="s">
        <v>53</v>
      </c>
      <c r="B57" t="s">
        <v>70</v>
      </c>
    </row>
    <row r="58" spans="1:2">
      <c r="A58" t="s">
        <v>65</v>
      </c>
      <c r="B58" t="s">
        <v>70</v>
      </c>
    </row>
    <row r="59" spans="1:2">
      <c r="A59" t="s">
        <v>95</v>
      </c>
    </row>
    <row r="60" spans="1:2">
      <c r="A60" t="s">
        <v>51</v>
      </c>
      <c r="B60" t="s">
        <v>70</v>
      </c>
    </row>
    <row r="61" spans="1:2">
      <c r="A61" t="s">
        <v>55</v>
      </c>
      <c r="B61" t="s">
        <v>70</v>
      </c>
    </row>
    <row r="62" spans="1:2">
      <c r="A62" t="s">
        <v>53</v>
      </c>
      <c r="B62" t="s">
        <v>70</v>
      </c>
    </row>
    <row r="63" spans="1:2">
      <c r="A63" t="s">
        <v>65</v>
      </c>
      <c r="B63" t="s">
        <v>70</v>
      </c>
    </row>
    <row r="64" spans="1:2">
      <c r="A64" t="s">
        <v>109</v>
      </c>
    </row>
    <row r="65" spans="1:2">
      <c r="A65" t="s">
        <v>110</v>
      </c>
      <c r="B65" t="s">
        <v>111</v>
      </c>
    </row>
    <row r="66" spans="1:2">
      <c r="A66" t="s">
        <v>112</v>
      </c>
      <c r="B66" t="s">
        <v>111</v>
      </c>
    </row>
    <row r="67" spans="1:2">
      <c r="A67" t="s">
        <v>113</v>
      </c>
      <c r="B67" t="s">
        <v>111</v>
      </c>
    </row>
    <row r="68" spans="1:2">
      <c r="A68" t="s">
        <v>114</v>
      </c>
    </row>
    <row r="69" spans="1:2">
      <c r="A69" t="s">
        <v>115</v>
      </c>
      <c r="B69" t="s">
        <v>116</v>
      </c>
    </row>
    <row r="70" spans="1:2">
      <c r="A70" t="s">
        <v>117</v>
      </c>
      <c r="B70" t="s">
        <v>116</v>
      </c>
    </row>
    <row r="71" spans="1:2">
      <c r="A71" t="s">
        <v>118</v>
      </c>
      <c r="B71" t="s">
        <v>116</v>
      </c>
    </row>
    <row r="72" spans="1:2">
      <c r="A72" t="s">
        <v>50</v>
      </c>
    </row>
    <row r="73" spans="1:2">
      <c r="A73" t="s">
        <v>119</v>
      </c>
    </row>
    <row r="74" spans="1:2">
      <c r="A74" t="s">
        <v>51</v>
      </c>
      <c r="B74" t="s">
        <v>120</v>
      </c>
    </row>
    <row r="75" spans="1:2">
      <c r="A75" t="s">
        <v>53</v>
      </c>
      <c r="B75" t="s">
        <v>121</v>
      </c>
    </row>
    <row r="76" spans="1:2">
      <c r="A76" t="s">
        <v>55</v>
      </c>
      <c r="B76" t="s">
        <v>122</v>
      </c>
    </row>
    <row r="77" spans="1:2">
      <c r="A77" t="s">
        <v>123</v>
      </c>
      <c r="B77" t="s">
        <v>124</v>
      </c>
    </row>
    <row r="78" spans="1:2">
      <c r="A78" t="s">
        <v>125</v>
      </c>
    </row>
    <row r="79" spans="1:2">
      <c r="A79" t="s">
        <v>124</v>
      </c>
    </row>
    <row r="80" spans="1:2">
      <c r="A80" t="s">
        <v>30</v>
      </c>
    </row>
    <row r="81" spans="1:14">
      <c r="A81" t="s">
        <v>67</v>
      </c>
      <c r="B81" s="9">
        <v>0.99999930999999997</v>
      </c>
      <c r="C81" s="9"/>
      <c r="D81" s="9"/>
      <c r="E81" s="9"/>
      <c r="F81" s="9"/>
      <c r="G81" s="9"/>
      <c r="H81" s="9"/>
      <c r="I81" s="9"/>
      <c r="J81" s="9"/>
      <c r="K81" s="9"/>
      <c r="L81" s="9"/>
      <c r="M81" s="9"/>
      <c r="N81" s="9"/>
    </row>
    <row r="82" spans="1:14">
      <c r="A82" t="s">
        <v>68</v>
      </c>
      <c r="B82" s="7">
        <v>1</v>
      </c>
      <c r="C82" s="9"/>
      <c r="D82" s="9"/>
      <c r="E82" s="9"/>
      <c r="F82" s="9"/>
      <c r="G82" s="7"/>
      <c r="H82" s="9"/>
      <c r="I82" s="9"/>
      <c r="J82" s="9"/>
      <c r="K82" s="7"/>
      <c r="L82" s="7"/>
      <c r="M82" s="7"/>
      <c r="N82" s="7"/>
    </row>
    <row r="83" spans="1:14">
      <c r="A83" t="s">
        <v>69</v>
      </c>
      <c r="B83" s="5">
        <v>43679901880</v>
      </c>
      <c r="C83" s="7"/>
      <c r="D83" s="7"/>
      <c r="E83" s="7"/>
      <c r="F83" s="7"/>
      <c r="H83" s="7"/>
      <c r="I83" s="7"/>
      <c r="J83" s="7"/>
    </row>
    <row r="84" spans="1:14">
      <c r="A84" t="s">
        <v>71</v>
      </c>
      <c r="B84" s="7" t="s">
        <v>196</v>
      </c>
    </row>
    <row r="85" spans="1:14">
      <c r="A85" t="s">
        <v>72</v>
      </c>
    </row>
    <row r="86" spans="1:14">
      <c r="A86" t="s">
        <v>73</v>
      </c>
      <c r="B86" s="9">
        <v>0.99999932999999996</v>
      </c>
      <c r="C86" s="9"/>
      <c r="D86" s="9"/>
      <c r="E86" s="9"/>
      <c r="F86" s="9"/>
      <c r="G86" s="9"/>
      <c r="H86" s="9"/>
      <c r="I86" s="9"/>
      <c r="J86" s="9"/>
      <c r="K86" s="9"/>
      <c r="L86" s="9"/>
      <c r="M86" s="9"/>
      <c r="N86" s="9"/>
    </row>
    <row r="87" spans="1:14">
      <c r="A87" t="s">
        <v>74</v>
      </c>
      <c r="B87" s="7">
        <v>1</v>
      </c>
      <c r="C87" s="9"/>
      <c r="D87" s="9"/>
      <c r="E87" s="9"/>
      <c r="F87" s="9"/>
      <c r="G87" s="7"/>
      <c r="H87" s="9"/>
      <c r="I87" s="9"/>
      <c r="J87" s="9"/>
      <c r="K87" s="7"/>
      <c r="L87" s="7"/>
      <c r="M87" s="7"/>
      <c r="N87" s="7"/>
    </row>
    <row r="88" spans="1:14">
      <c r="A88" t="s">
        <v>75</v>
      </c>
      <c r="B88" s="5">
        <v>43679901880</v>
      </c>
      <c r="C88" s="7"/>
      <c r="D88" s="7"/>
      <c r="E88" s="7"/>
      <c r="F88" s="7"/>
      <c r="H88" s="7"/>
      <c r="I88" s="7"/>
      <c r="J88" s="7"/>
    </row>
    <row r="89" spans="1:14">
      <c r="A89" t="s">
        <v>76</v>
      </c>
      <c r="B89" s="7" t="s">
        <v>197</v>
      </c>
    </row>
    <row r="90" spans="1:14">
      <c r="A90" t="s">
        <v>126</v>
      </c>
    </row>
    <row r="91" spans="1:14">
      <c r="A91" t="s">
        <v>51</v>
      </c>
      <c r="B91" t="s">
        <v>150</v>
      </c>
    </row>
    <row r="92" spans="1:14">
      <c r="A92" t="s">
        <v>55</v>
      </c>
      <c r="B92" t="s">
        <v>150</v>
      </c>
    </row>
    <row r="93" spans="1:14">
      <c r="A93" t="s">
        <v>53</v>
      </c>
      <c r="B93" t="s">
        <v>150</v>
      </c>
    </row>
    <row r="94" spans="1:14">
      <c r="A94" t="s">
        <v>127</v>
      </c>
    </row>
    <row r="95" spans="1:14">
      <c r="A95" t="s">
        <v>51</v>
      </c>
      <c r="B95" s="7">
        <v>0</v>
      </c>
      <c r="C95" s="7"/>
      <c r="D95" s="7"/>
      <c r="E95" s="7"/>
      <c r="F95" s="7"/>
      <c r="G95" s="7"/>
      <c r="H95" s="7"/>
      <c r="I95" s="7"/>
      <c r="J95" s="7"/>
      <c r="K95" s="7"/>
      <c r="L95" s="7"/>
      <c r="M95" s="7"/>
      <c r="N95" s="7"/>
    </row>
    <row r="96" spans="1:14">
      <c r="A96" t="s">
        <v>55</v>
      </c>
      <c r="B96" s="7">
        <v>0</v>
      </c>
      <c r="C96" s="7"/>
      <c r="D96" s="7"/>
      <c r="E96" s="7"/>
      <c r="F96" s="7"/>
      <c r="G96" s="7"/>
      <c r="H96" s="7"/>
      <c r="I96" s="7"/>
      <c r="J96" s="7"/>
      <c r="K96" s="7"/>
      <c r="L96" s="7"/>
      <c r="M96" s="7"/>
      <c r="N96" s="7"/>
    </row>
    <row r="97" spans="1:14">
      <c r="A97" t="s">
        <v>53</v>
      </c>
      <c r="B97" s="7">
        <v>0</v>
      </c>
      <c r="C97" s="7"/>
      <c r="D97" s="7"/>
      <c r="E97" s="7"/>
      <c r="F97" s="7"/>
      <c r="G97" s="9"/>
      <c r="H97" s="7"/>
      <c r="I97" s="7"/>
      <c r="J97" s="7"/>
      <c r="K97" s="9"/>
      <c r="L97" s="9"/>
      <c r="M97" s="9"/>
      <c r="N97" s="9"/>
    </row>
    <row r="98" spans="1:14">
      <c r="A98" t="s">
        <v>128</v>
      </c>
      <c r="B98" s="7"/>
      <c r="C98" s="9"/>
      <c r="D98" s="9"/>
      <c r="E98" s="9"/>
      <c r="F98" s="9"/>
      <c r="H98" s="9"/>
      <c r="I98" s="9"/>
      <c r="J98" s="9"/>
    </row>
    <row r="99" spans="1:14">
      <c r="A99" t="s">
        <v>129</v>
      </c>
      <c r="B99" s="7">
        <v>0</v>
      </c>
      <c r="C99" s="7"/>
      <c r="D99" s="7"/>
      <c r="E99" s="7"/>
      <c r="F99" s="7"/>
      <c r="G99" s="7"/>
      <c r="H99" s="7"/>
      <c r="I99" s="7"/>
      <c r="J99" s="7"/>
      <c r="K99" s="7"/>
      <c r="L99" s="7"/>
      <c r="M99" s="7"/>
      <c r="N99" s="7"/>
    </row>
    <row r="100" spans="1:14">
      <c r="A100" t="s">
        <v>130</v>
      </c>
      <c r="B100" s="7">
        <v>0</v>
      </c>
      <c r="C100" s="7"/>
      <c r="D100" s="7"/>
      <c r="E100" s="7"/>
      <c r="F100" s="7"/>
      <c r="G100" s="9"/>
      <c r="H100" s="7"/>
      <c r="I100" s="7"/>
      <c r="J100" s="7"/>
      <c r="K100" s="9"/>
      <c r="L100" s="9"/>
      <c r="M100" s="9"/>
      <c r="N100" s="9"/>
    </row>
    <row r="101" spans="1:14">
      <c r="A101" t="s">
        <v>131</v>
      </c>
      <c r="B101" s="7">
        <v>0</v>
      </c>
      <c r="C101" s="9"/>
      <c r="D101" s="9"/>
      <c r="E101" s="9"/>
      <c r="F101" s="9"/>
      <c r="G101" s="9"/>
      <c r="H101" s="9"/>
      <c r="I101" s="9"/>
      <c r="J101" s="9"/>
      <c r="K101" s="9"/>
      <c r="L101" s="9"/>
      <c r="M101" s="9"/>
      <c r="N101" s="9"/>
    </row>
    <row r="102" spans="1:14">
      <c r="A102" t="s">
        <v>132</v>
      </c>
      <c r="B102" s="7">
        <v>0</v>
      </c>
      <c r="C102" s="9"/>
      <c r="D102" s="9"/>
      <c r="E102" s="9"/>
      <c r="F102" s="9"/>
      <c r="G102" s="9"/>
      <c r="H102" s="9"/>
      <c r="I102" s="9"/>
      <c r="J102" s="9"/>
      <c r="K102" s="9"/>
      <c r="L102" s="9"/>
      <c r="M102" s="9"/>
      <c r="N102" s="9"/>
    </row>
    <row r="103" spans="1:14">
      <c r="A103" t="s">
        <v>133</v>
      </c>
      <c r="B103" s="7">
        <v>0</v>
      </c>
      <c r="C103" s="9"/>
      <c r="D103" s="9"/>
      <c r="E103" s="9"/>
      <c r="F103" s="9"/>
      <c r="G103" s="9"/>
      <c r="H103" s="9"/>
      <c r="I103" s="9"/>
      <c r="J103" s="9"/>
      <c r="K103" s="9"/>
      <c r="L103" s="9"/>
      <c r="M103" s="9"/>
      <c r="N103" s="9"/>
    </row>
    <row r="104" spans="1:14">
      <c r="A104" t="s">
        <v>134</v>
      </c>
      <c r="B104" s="7">
        <v>0</v>
      </c>
      <c r="C104" s="9"/>
      <c r="D104" s="9"/>
      <c r="E104" s="9"/>
      <c r="F104" s="9"/>
      <c r="G104" s="9"/>
      <c r="H104" s="9"/>
      <c r="I104" s="9"/>
      <c r="J104" s="9"/>
      <c r="K104" s="9"/>
      <c r="L104" s="9"/>
      <c r="M104" s="9"/>
      <c r="N104" s="9"/>
    </row>
    <row r="105" spans="1:14">
      <c r="A105" t="s">
        <v>135</v>
      </c>
      <c r="B105" s="7">
        <v>0</v>
      </c>
      <c r="C105" s="9"/>
      <c r="D105" s="9"/>
      <c r="E105" s="9"/>
      <c r="F105" s="9"/>
      <c r="G105" s="7"/>
      <c r="H105" s="9"/>
      <c r="I105" s="9"/>
      <c r="J105" s="9"/>
      <c r="K105" s="7"/>
      <c r="L105" s="7"/>
      <c r="M105" s="7"/>
      <c r="N105" s="7"/>
    </row>
    <row r="106" spans="1:14">
      <c r="A106" t="s">
        <v>136</v>
      </c>
      <c r="B106" s="7">
        <v>0</v>
      </c>
      <c r="C106" s="7"/>
      <c r="D106" s="7"/>
      <c r="E106" s="7"/>
      <c r="F106" s="7"/>
      <c r="G106" s="7"/>
      <c r="H106" s="7"/>
      <c r="I106" s="7"/>
      <c r="J106" s="7"/>
      <c r="K106" s="7"/>
      <c r="L106" s="7"/>
      <c r="M106" s="7"/>
      <c r="N106" s="7"/>
    </row>
    <row r="107" spans="1:14">
      <c r="A107" t="s">
        <v>137</v>
      </c>
      <c r="B107" s="7">
        <v>0</v>
      </c>
      <c r="C107" s="7"/>
      <c r="D107" s="7"/>
      <c r="E107" s="7"/>
      <c r="F107" s="7"/>
      <c r="G107" s="7"/>
      <c r="H107" s="7"/>
      <c r="I107" s="7"/>
      <c r="J107" s="7"/>
      <c r="K107" s="7"/>
      <c r="L107" s="7"/>
      <c r="M107" s="7"/>
      <c r="N107" s="7"/>
    </row>
    <row r="108" spans="1:14">
      <c r="A108" t="s">
        <v>138</v>
      </c>
      <c r="B108" s="7">
        <v>0</v>
      </c>
      <c r="C108" s="7"/>
      <c r="D108" s="7"/>
      <c r="E108" s="7"/>
      <c r="F108" s="7"/>
      <c r="G108" s="7"/>
      <c r="H108" s="7"/>
      <c r="I108" s="7"/>
      <c r="J108" s="7"/>
      <c r="K108" s="7"/>
      <c r="L108" s="7"/>
      <c r="M108" s="7"/>
      <c r="N108" s="7"/>
    </row>
    <row r="109" spans="1:14">
      <c r="A109" t="s">
        <v>139</v>
      </c>
      <c r="B109" s="7">
        <v>0</v>
      </c>
      <c r="C109" s="7"/>
      <c r="D109" s="7"/>
      <c r="E109" s="7"/>
      <c r="F109" s="7"/>
      <c r="G109" s="7"/>
      <c r="H109" s="7"/>
      <c r="I109" s="7"/>
      <c r="J109" s="7"/>
      <c r="K109" s="7"/>
      <c r="L109" s="7"/>
      <c r="M109" s="7"/>
      <c r="N109" s="7"/>
    </row>
    <row r="110" spans="1:14">
      <c r="A110" t="s">
        <v>140</v>
      </c>
      <c r="B110" s="7"/>
      <c r="C110" s="7"/>
      <c r="D110" s="7"/>
      <c r="E110" s="7"/>
      <c r="F110" s="7"/>
      <c r="H110" s="7"/>
      <c r="I110" s="7"/>
      <c r="J110" s="7"/>
    </row>
    <row r="111" spans="1:14">
      <c r="A111" t="s">
        <v>51</v>
      </c>
      <c r="B111" s="5">
        <v>3235619.68</v>
      </c>
      <c r="C111" s="5">
        <f>B111/25</f>
        <v>129424.78720000001</v>
      </c>
    </row>
    <row r="112" spans="1:14">
      <c r="A112" t="s">
        <v>55</v>
      </c>
      <c r="B112" t="s">
        <v>198</v>
      </c>
    </row>
    <row r="113" spans="1:14">
      <c r="A113" t="s">
        <v>53</v>
      </c>
      <c r="B113" t="s">
        <v>198</v>
      </c>
    </row>
    <row r="114" spans="1:14">
      <c r="A114" t="s">
        <v>141</v>
      </c>
    </row>
    <row r="115" spans="1:14">
      <c r="A115" t="s">
        <v>51</v>
      </c>
      <c r="B115" t="s">
        <v>142</v>
      </c>
    </row>
    <row r="116" spans="1:14">
      <c r="A116" t="s">
        <v>55</v>
      </c>
      <c r="B116" t="s">
        <v>142</v>
      </c>
    </row>
    <row r="117" spans="1:14">
      <c r="A117" t="s">
        <v>53</v>
      </c>
      <c r="B117" t="s">
        <v>142</v>
      </c>
    </row>
    <row r="118" spans="1:14">
      <c r="A118" t="s">
        <v>143</v>
      </c>
    </row>
    <row r="119" spans="1:14">
      <c r="A119" t="s">
        <v>51</v>
      </c>
      <c r="B119" s="9">
        <v>3.2599999999999997E-2</v>
      </c>
      <c r="C119" s="7"/>
      <c r="D119" s="7"/>
      <c r="E119" s="9"/>
      <c r="F119" s="7"/>
      <c r="G119" s="7"/>
      <c r="H119" s="7"/>
      <c r="I119" s="7"/>
      <c r="J119" s="7"/>
      <c r="K119" s="7"/>
      <c r="L119" s="7"/>
      <c r="M119" s="7"/>
      <c r="N119" s="7"/>
    </row>
    <row r="120" spans="1:14">
      <c r="A120" t="s">
        <v>55</v>
      </c>
      <c r="B120" s="7">
        <v>1</v>
      </c>
      <c r="C120" s="9"/>
      <c r="D120" s="9"/>
      <c r="E120" s="7"/>
      <c r="F120" s="7"/>
      <c r="G120" s="7"/>
      <c r="H120" s="7"/>
      <c r="I120" s="7"/>
      <c r="J120" s="7"/>
      <c r="K120" s="7"/>
      <c r="L120" s="7"/>
      <c r="M120" s="7"/>
      <c r="N120" s="7"/>
    </row>
    <row r="121" spans="1:14">
      <c r="A121" t="s">
        <v>53</v>
      </c>
      <c r="B121" s="9">
        <v>0.4012</v>
      </c>
      <c r="C121" s="7"/>
      <c r="D121" s="7"/>
      <c r="E121" s="7"/>
      <c r="F121" s="7"/>
      <c r="G121" s="9"/>
      <c r="H121" s="7"/>
      <c r="I121" s="7"/>
      <c r="J121" s="7"/>
      <c r="K121" s="9"/>
      <c r="L121" s="9"/>
      <c r="M121" s="9"/>
      <c r="N121" s="9"/>
    </row>
    <row r="122" spans="1:14">
      <c r="A122" t="s">
        <v>128</v>
      </c>
      <c r="B122" s="7"/>
      <c r="C122" s="9"/>
      <c r="D122" s="9"/>
      <c r="E122" s="9"/>
      <c r="F122" s="9"/>
      <c r="H122" s="9"/>
      <c r="I122" s="9"/>
      <c r="J122" s="9"/>
    </row>
    <row r="123" spans="1:14">
      <c r="A123" t="s">
        <v>129</v>
      </c>
      <c r="B123" s="9">
        <v>0</v>
      </c>
      <c r="C123" s="7"/>
      <c r="D123" s="7"/>
      <c r="E123" s="7"/>
      <c r="F123" s="7"/>
      <c r="G123" s="7"/>
      <c r="H123" s="7"/>
      <c r="I123" s="7"/>
      <c r="J123" s="7"/>
      <c r="K123" s="7"/>
      <c r="L123" s="7"/>
      <c r="M123" s="7"/>
      <c r="N123" s="7"/>
    </row>
    <row r="124" spans="1:14">
      <c r="A124" t="s">
        <v>130</v>
      </c>
      <c r="B124" s="7">
        <v>0</v>
      </c>
      <c r="C124" s="7"/>
      <c r="D124" s="7"/>
      <c r="E124" s="7"/>
      <c r="F124" s="7"/>
      <c r="G124" s="7"/>
      <c r="H124" s="7"/>
      <c r="I124" s="7"/>
      <c r="J124" s="7"/>
      <c r="K124" s="7"/>
      <c r="L124" s="9"/>
      <c r="M124" s="9"/>
      <c r="N124" s="9"/>
    </row>
    <row r="125" spans="1:14">
      <c r="A125" t="s">
        <v>144</v>
      </c>
      <c r="B125" s="7">
        <v>0</v>
      </c>
      <c r="C125" s="7"/>
      <c r="D125" s="7"/>
      <c r="E125" s="7"/>
      <c r="F125" s="7"/>
      <c r="G125" s="9"/>
      <c r="H125" s="7"/>
      <c r="I125" s="7"/>
      <c r="J125" s="7"/>
      <c r="K125" s="7"/>
      <c r="L125" s="7"/>
      <c r="M125" s="7"/>
      <c r="N125" s="7"/>
    </row>
    <row r="126" spans="1:14">
      <c r="A126" t="s">
        <v>145</v>
      </c>
      <c r="B126" s="7">
        <v>4.0000000000000002E-4</v>
      </c>
      <c r="C126" s="9"/>
      <c r="D126" s="9"/>
      <c r="E126" s="9"/>
      <c r="F126" s="9"/>
      <c r="G126" s="9"/>
      <c r="H126" s="9"/>
      <c r="I126" s="9"/>
      <c r="J126" s="9"/>
      <c r="K126" s="9"/>
      <c r="L126" s="9"/>
      <c r="M126" s="7"/>
      <c r="N126" s="7"/>
    </row>
    <row r="127" spans="1:14">
      <c r="A127" t="s">
        <v>146</v>
      </c>
      <c r="B127" s="9">
        <v>3.5999999999999999E-3</v>
      </c>
      <c r="C127" s="9"/>
      <c r="D127" s="9"/>
      <c r="E127" s="9"/>
      <c r="F127" s="9"/>
      <c r="G127" s="9"/>
      <c r="H127" s="9"/>
      <c r="I127" s="9"/>
      <c r="J127" s="9"/>
      <c r="K127" s="9"/>
      <c r="L127" s="9"/>
      <c r="M127" s="9"/>
      <c r="N127" s="9"/>
    </row>
    <row r="128" spans="1:14">
      <c r="A128" t="s">
        <v>147</v>
      </c>
      <c r="B128" s="9">
        <v>3.0499999999999999E-2</v>
      </c>
      <c r="C128" s="9"/>
      <c r="D128" s="9"/>
      <c r="E128" s="9"/>
      <c r="F128" s="9"/>
      <c r="G128" s="9"/>
      <c r="H128" s="9"/>
      <c r="I128" s="9"/>
      <c r="J128" s="9"/>
      <c r="K128" s="9"/>
      <c r="L128" s="9"/>
      <c r="M128" s="9"/>
      <c r="N128" s="9"/>
    </row>
    <row r="129" spans="1:14">
      <c r="A129" t="s">
        <v>131</v>
      </c>
      <c r="B129" s="9">
        <v>6.8199999999999997E-2</v>
      </c>
      <c r="C129" s="9"/>
      <c r="D129" s="9"/>
      <c r="E129" s="7"/>
      <c r="F129" s="9"/>
      <c r="G129" s="9"/>
      <c r="H129" s="9"/>
      <c r="I129" s="9"/>
      <c r="J129" s="9"/>
      <c r="K129" s="9"/>
      <c r="L129" s="9"/>
      <c r="M129" s="9"/>
      <c r="N129" s="9"/>
    </row>
    <row r="130" spans="1:14">
      <c r="A130" t="s">
        <v>148</v>
      </c>
      <c r="B130" s="9">
        <v>0.10349999999999999</v>
      </c>
      <c r="C130" s="9"/>
      <c r="D130" s="9"/>
      <c r="E130" s="9"/>
      <c r="F130" s="9"/>
      <c r="G130" s="9"/>
      <c r="H130" s="9"/>
      <c r="I130" s="9"/>
      <c r="J130" s="9"/>
      <c r="K130" s="9"/>
      <c r="L130" s="9"/>
      <c r="M130" s="9"/>
      <c r="N130" s="9"/>
    </row>
    <row r="131" spans="1:14">
      <c r="A131" t="s">
        <v>149</v>
      </c>
      <c r="B131" s="9">
        <v>0.2712</v>
      </c>
      <c r="C131" s="9"/>
      <c r="D131" s="9"/>
      <c r="E131" s="9"/>
      <c r="F131" s="9"/>
      <c r="G131" s="9"/>
      <c r="H131" s="9"/>
      <c r="I131" s="9"/>
      <c r="J131" s="9"/>
      <c r="K131" s="9"/>
      <c r="L131" s="9"/>
      <c r="M131" s="9"/>
      <c r="N131" s="9"/>
    </row>
    <row r="132" spans="1:14">
      <c r="A132" t="s">
        <v>132</v>
      </c>
      <c r="B132" s="9">
        <v>0.32100000000000001</v>
      </c>
      <c r="C132" s="9"/>
      <c r="D132" s="9"/>
      <c r="E132" s="9"/>
      <c r="F132" s="9"/>
      <c r="G132" s="9"/>
      <c r="H132" s="9"/>
      <c r="I132" s="9"/>
      <c r="J132" s="9"/>
      <c r="K132" s="9"/>
      <c r="L132" s="9"/>
      <c r="M132" s="9"/>
      <c r="N132" s="9"/>
    </row>
    <row r="133" spans="1:14">
      <c r="A133" t="s">
        <v>133</v>
      </c>
      <c r="B133" s="9">
        <v>0.1986</v>
      </c>
      <c r="C133" s="9"/>
      <c r="D133" s="9"/>
      <c r="E133" s="9"/>
      <c r="F133" s="9"/>
      <c r="G133" s="9"/>
      <c r="H133" s="9"/>
      <c r="I133" s="9"/>
      <c r="J133" s="9"/>
      <c r="K133" s="9"/>
      <c r="L133" s="9"/>
      <c r="M133" s="9"/>
      <c r="N133" s="9"/>
    </row>
    <row r="134" spans="1:14">
      <c r="A134" t="s">
        <v>134</v>
      </c>
      <c r="B134" s="9">
        <v>3.0999999999999999E-3</v>
      </c>
      <c r="C134" s="9"/>
      <c r="D134" s="9"/>
      <c r="E134" s="9"/>
      <c r="F134" s="9"/>
      <c r="G134" s="9"/>
      <c r="H134" s="9"/>
      <c r="I134" s="9"/>
      <c r="J134" s="9"/>
      <c r="K134" s="9"/>
      <c r="L134" s="9"/>
      <c r="M134" s="9"/>
      <c r="N134" s="9"/>
    </row>
    <row r="135" spans="1:14">
      <c r="A135" t="s">
        <v>139</v>
      </c>
      <c r="B135" s="9">
        <v>0</v>
      </c>
      <c r="C135" s="9"/>
      <c r="D135" s="9"/>
      <c r="E135" s="9"/>
      <c r="F135" s="9"/>
      <c r="G135" s="7"/>
      <c r="H135" s="9"/>
      <c r="I135" s="9"/>
      <c r="J135" s="9"/>
      <c r="K135" s="7"/>
      <c r="L135" s="7"/>
      <c r="M135" s="7"/>
      <c r="N135" s="7"/>
    </row>
    <row r="136" spans="1:14">
      <c r="B136" s="9"/>
      <c r="C136" s="9"/>
      <c r="D136" s="9"/>
      <c r="E136" s="9"/>
      <c r="F136" s="9"/>
      <c r="G136" s="7"/>
      <c r="H136" s="9"/>
      <c r="I136" s="9"/>
      <c r="J136" s="9"/>
      <c r="K136" s="7"/>
      <c r="L136" s="7"/>
      <c r="M136" s="7"/>
      <c r="N136" s="7"/>
    </row>
    <row r="137" spans="1:14">
      <c r="B137" s="9"/>
      <c r="C137" s="9"/>
      <c r="D137" s="9"/>
      <c r="E137" s="9"/>
      <c r="F137" s="9"/>
      <c r="G137" s="7"/>
      <c r="H137" s="9"/>
      <c r="I137" s="9"/>
      <c r="J137" s="9"/>
      <c r="K137" s="7"/>
      <c r="L137" s="7"/>
      <c r="M137" s="7"/>
      <c r="N137" s="7"/>
    </row>
    <row r="138" spans="1:14">
      <c r="B138" s="9"/>
      <c r="C138" s="7"/>
      <c r="D138" s="7"/>
      <c r="E138" s="7"/>
      <c r="F138" s="7"/>
      <c r="H138" s="7"/>
      <c r="I138" s="7"/>
      <c r="J138" s="7"/>
    </row>
    <row r="139" spans="1:14">
      <c r="A139" s="14" t="s">
        <v>261</v>
      </c>
      <c r="B139" s="9"/>
      <c r="C139" s="7"/>
      <c r="D139" s="7"/>
      <c r="E139" s="7"/>
      <c r="F139" s="7"/>
      <c r="H139" s="7"/>
      <c r="I139" s="7"/>
      <c r="J139" s="7"/>
    </row>
    <row r="140" spans="1:14">
      <c r="A140" t="s">
        <v>316</v>
      </c>
      <c r="B140" s="5">
        <f>B145/25</f>
        <v>2369.8720000000003</v>
      </c>
      <c r="D140" s="7"/>
      <c r="E140" s="7"/>
      <c r="F140" s="7"/>
      <c r="H140" s="7"/>
      <c r="I140" s="7"/>
      <c r="J140" s="7"/>
    </row>
    <row r="141" spans="1:14">
      <c r="A141" t="s">
        <v>317</v>
      </c>
      <c r="B141" s="5">
        <f>B146/25</f>
        <v>3295.62</v>
      </c>
      <c r="D141" s="7"/>
      <c r="E141" s="7"/>
      <c r="F141" s="7"/>
      <c r="H141" s="7"/>
      <c r="I141" s="7"/>
      <c r="J141" s="7"/>
    </row>
    <row r="142" spans="1:14">
      <c r="A142" t="s">
        <v>318</v>
      </c>
      <c r="B142" s="5">
        <f>B147/25</f>
        <v>3843.3115999999995</v>
      </c>
    </row>
    <row r="143" spans="1:14">
      <c r="A143" t="s">
        <v>319</v>
      </c>
      <c r="B143" s="5">
        <f>B148/25</f>
        <v>372.60120000000001</v>
      </c>
    </row>
    <row r="144" spans="1:14">
      <c r="A144" t="s">
        <v>266</v>
      </c>
      <c r="B144" s="5">
        <f>B149/25</f>
        <v>9881.4047999999984</v>
      </c>
    </row>
    <row r="145" spans="1:3">
      <c r="A145" t="s">
        <v>262</v>
      </c>
      <c r="B145" s="5">
        <v>59246.8</v>
      </c>
      <c r="C145" s="5">
        <v>58557.69</v>
      </c>
    </row>
    <row r="146" spans="1:3">
      <c r="A146" t="s">
        <v>263</v>
      </c>
      <c r="B146" s="5">
        <v>82390.5</v>
      </c>
      <c r="C146" s="5">
        <v>79676.850000000006</v>
      </c>
    </row>
    <row r="147" spans="1:3">
      <c r="A147" t="s">
        <v>264</v>
      </c>
      <c r="B147" s="5">
        <v>96082.79</v>
      </c>
      <c r="C147" s="5">
        <v>100164.17</v>
      </c>
    </row>
    <row r="148" spans="1:3">
      <c r="A148" t="s">
        <v>265</v>
      </c>
      <c r="B148" s="5">
        <v>9315.0300000000007</v>
      </c>
      <c r="C148" s="5">
        <v>7994.95</v>
      </c>
    </row>
    <row r="149" spans="1:3">
      <c r="A149" t="s">
        <v>266</v>
      </c>
      <c r="B149" s="5">
        <f>SUM(B145:B148)</f>
        <v>247035.11999999997</v>
      </c>
      <c r="C149" s="5">
        <f>SUM(C145:C148)</f>
        <v>246393.66000000003</v>
      </c>
    </row>
    <row r="150" spans="1:3">
      <c r="C150" s="5"/>
    </row>
    <row r="151" spans="1:3">
      <c r="A151" s="14" t="s">
        <v>155</v>
      </c>
    </row>
    <row r="152" spans="1:3">
      <c r="A152" t="s">
        <v>160</v>
      </c>
      <c r="B152">
        <f>Assumptions!B2</f>
        <v>25</v>
      </c>
    </row>
    <row r="153" spans="1:3">
      <c r="A153" t="s">
        <v>2</v>
      </c>
      <c r="B153" s="3">
        <f>Assumptions!B3</f>
        <v>0.03</v>
      </c>
    </row>
    <row r="154" spans="1:3">
      <c r="A154" t="s">
        <v>154</v>
      </c>
      <c r="B154" s="9">
        <f>Assumptions!B4</f>
        <v>0.01</v>
      </c>
    </row>
    <row r="155" spans="1:3">
      <c r="A155" t="s">
        <v>162</v>
      </c>
      <c r="B155">
        <f>Assumptions!B5</f>
        <v>1</v>
      </c>
      <c r="C155" s="5"/>
    </row>
    <row r="156" spans="1:3">
      <c r="A156" t="s">
        <v>99</v>
      </c>
      <c r="B156" s="4">
        <f>Assumptions!B6</f>
        <v>7.99</v>
      </c>
    </row>
    <row r="157" spans="1:3">
      <c r="A157" t="s">
        <v>98</v>
      </c>
      <c r="B157" s="4">
        <f>Assumptions!B7</f>
        <v>7.163333333333334</v>
      </c>
    </row>
    <row r="158" spans="1:3">
      <c r="A158" t="s">
        <v>102</v>
      </c>
      <c r="B158">
        <v>134000</v>
      </c>
    </row>
    <row r="159" spans="1:3">
      <c r="A159" t="s">
        <v>103</v>
      </c>
      <c r="B159">
        <v>2.93071E-4</v>
      </c>
    </row>
    <row r="160" spans="1:3">
      <c r="A160" t="s">
        <v>228</v>
      </c>
      <c r="B160">
        <f>Assumptions!B10</f>
        <v>186075.58976888133</v>
      </c>
    </row>
    <row r="161" spans="1:2">
      <c r="B161" s="39"/>
    </row>
    <row r="162" spans="1:2">
      <c r="A162" t="s">
        <v>215</v>
      </c>
      <c r="B162" s="39">
        <f>Assumptions!B16</f>
        <v>0.14929999999999999</v>
      </c>
    </row>
    <row r="163" spans="1:2">
      <c r="A163" t="s">
        <v>215</v>
      </c>
      <c r="B163" s="39">
        <f>Assumptions!B17</f>
        <v>-0.90090000000000003</v>
      </c>
    </row>
    <row r="164" spans="1:2">
      <c r="A164" t="s">
        <v>215</v>
      </c>
      <c r="B164" s="39">
        <f>Assumptions!B18</f>
        <v>16.515000000000001</v>
      </c>
    </row>
    <row r="165" spans="1:2">
      <c r="B165" s="39"/>
    </row>
    <row r="166" spans="1:2">
      <c r="A166" t="s">
        <v>216</v>
      </c>
      <c r="B166" s="39">
        <f>Assumptions!B20</f>
        <v>0.1123</v>
      </c>
    </row>
    <row r="167" spans="1:2">
      <c r="A167" t="s">
        <v>216</v>
      </c>
      <c r="B167" s="39">
        <f>Assumptions!B21</f>
        <v>-0.6774</v>
      </c>
    </row>
    <row r="168" spans="1:2">
      <c r="A168" t="s">
        <v>216</v>
      </c>
      <c r="B168" s="39">
        <f>Assumptions!B22</f>
        <v>12.417999999999999</v>
      </c>
    </row>
    <row r="169" spans="1:2">
      <c r="B169" s="39"/>
    </row>
    <row r="170" spans="1:2">
      <c r="A170" t="s">
        <v>217</v>
      </c>
      <c r="B170" s="5">
        <f>Assumptions!B24</f>
        <v>1747196.0752000001</v>
      </c>
    </row>
    <row r="171" spans="1:2">
      <c r="A171" t="s">
        <v>223</v>
      </c>
      <c r="B171" s="5">
        <f>Assumptions!B25</f>
        <v>2813162.6651999997</v>
      </c>
    </row>
    <row r="173" spans="1:2">
      <c r="A173" t="s">
        <v>283</v>
      </c>
      <c r="B173" s="5">
        <f>B83/2500</f>
        <v>17471960.752</v>
      </c>
    </row>
    <row r="174" spans="1:2">
      <c r="A174" t="s">
        <v>284</v>
      </c>
      <c r="B174" s="5">
        <f>(B16+B15)/25</f>
        <v>2813162.6651999997</v>
      </c>
    </row>
    <row r="175" spans="1:2">
      <c r="B175" s="5"/>
    </row>
    <row r="176" spans="1:2">
      <c r="A176" t="s">
        <v>267</v>
      </c>
      <c r="B176">
        <v>80000</v>
      </c>
    </row>
    <row r="177" spans="1:2">
      <c r="A177" t="s">
        <v>272</v>
      </c>
      <c r="B177">
        <v>410.53</v>
      </c>
    </row>
    <row r="178" spans="1:2">
      <c r="A178" t="s">
        <v>273</v>
      </c>
      <c r="B178">
        <v>105.26</v>
      </c>
    </row>
    <row r="180" spans="1:2">
      <c r="A180" t="s">
        <v>271</v>
      </c>
      <c r="B180" s="11">
        <v>15.780750000000001</v>
      </c>
    </row>
    <row r="181" spans="1:2">
      <c r="A181" t="s">
        <v>270</v>
      </c>
      <c r="B181" s="11">
        <v>16.452750000000002</v>
      </c>
    </row>
    <row r="182" spans="1:2">
      <c r="A182" t="s">
        <v>268</v>
      </c>
      <c r="B182" s="11">
        <v>16.758750000000003</v>
      </c>
    </row>
    <row r="183" spans="1:2">
      <c r="A183" t="s">
        <v>269</v>
      </c>
      <c r="B183" s="11">
        <v>17.142244565217393</v>
      </c>
    </row>
    <row r="185" spans="1:2">
      <c r="A185" t="s">
        <v>221</v>
      </c>
      <c r="B185" s="5">
        <f>1-B173/B170</f>
        <v>-9</v>
      </c>
    </row>
    <row r="186" spans="1:2">
      <c r="A186" t="s">
        <v>220</v>
      </c>
      <c r="B186" s="5">
        <f>1-B174/B171</f>
        <v>0</v>
      </c>
    </row>
    <row r="188" spans="1:2">
      <c r="A188" t="s">
        <v>218</v>
      </c>
      <c r="B188" s="4">
        <f>B164*(B185^2)+B185*B163+B162</f>
        <v>1345.9724000000001</v>
      </c>
    </row>
    <row r="189" spans="1:2">
      <c r="A189" t="s">
        <v>219</v>
      </c>
      <c r="B189" s="4">
        <f>B168*(B186^2)+B186*B167+B166</f>
        <v>0.1123</v>
      </c>
    </row>
    <row r="190" spans="1:2">
      <c r="B190" s="4"/>
    </row>
    <row r="191" spans="1:2">
      <c r="A191" t="s">
        <v>218</v>
      </c>
      <c r="B191" s="11">
        <f>-B188*(B170-B173)</f>
        <v>21165099251.46772</v>
      </c>
    </row>
    <row r="192" spans="1:2">
      <c r="A192" t="s">
        <v>219</v>
      </c>
      <c r="B192" s="11">
        <f>-B189*(B171-B174)</f>
        <v>0</v>
      </c>
    </row>
    <row r="194" spans="1:21">
      <c r="A194" t="s">
        <v>222</v>
      </c>
      <c r="C194" s="2"/>
      <c r="D194" s="2"/>
      <c r="E194" s="2"/>
      <c r="F194" s="2"/>
      <c r="G194" s="2"/>
      <c r="H194" s="2"/>
      <c r="I194" s="2"/>
      <c r="J194" s="2"/>
      <c r="K194" s="2"/>
      <c r="L194" s="2"/>
      <c r="M194" s="2"/>
      <c r="N194" s="2"/>
      <c r="O194" s="2"/>
      <c r="P194" s="2"/>
      <c r="Q194" s="2"/>
      <c r="R194" s="2"/>
      <c r="S194" s="2"/>
      <c r="T194" s="2"/>
      <c r="U194" s="15"/>
    </row>
    <row r="195" spans="1:21">
      <c r="A195" t="s">
        <v>79</v>
      </c>
      <c r="B195" s="11">
        <f>-B28*1</f>
        <v>0</v>
      </c>
    </row>
    <row r="197" spans="1:21">
      <c r="A197" t="s">
        <v>158</v>
      </c>
      <c r="B197" s="11">
        <f>-B28+B37</f>
        <v>0</v>
      </c>
    </row>
    <row r="198" spans="1:21">
      <c r="A198" t="s">
        <v>157</v>
      </c>
      <c r="B198">
        <v>0</v>
      </c>
    </row>
    <row r="199" spans="1:21">
      <c r="A199" t="s">
        <v>156</v>
      </c>
      <c r="B199">
        <v>0</v>
      </c>
    </row>
    <row r="201" spans="1:21">
      <c r="A201" t="s">
        <v>278</v>
      </c>
    </row>
    <row r="202" spans="1:21">
      <c r="A202" t="s">
        <v>274</v>
      </c>
      <c r="B202" s="11">
        <f>-(202*$B$177+$B$178)*B145/($B$176)/25</f>
        <v>-2459.6996282880004</v>
      </c>
    </row>
    <row r="203" spans="1:21">
      <c r="A203" t="s">
        <v>275</v>
      </c>
      <c r="B203" s="11">
        <f>-(314*$B$177+$B$178)*B146/($B$176)/25</f>
        <v>-5314.6684105199993</v>
      </c>
    </row>
    <row r="204" spans="1:21">
      <c r="A204" t="s">
        <v>276</v>
      </c>
      <c r="B204" s="11">
        <f>-(365*$B$177+$B$178)*B147/($B$176)/25</f>
        <v>-7203.745206850449</v>
      </c>
    </row>
    <row r="205" spans="1:21">
      <c r="A205" t="s">
        <v>277</v>
      </c>
      <c r="B205" s="11">
        <f>-(397*$B$177+$B$178)*B148/($B$176)/25</f>
        <v>-759.57395431005023</v>
      </c>
    </row>
    <row r="207" spans="1:21">
      <c r="A207" t="s">
        <v>279</v>
      </c>
    </row>
    <row r="208" spans="1:21">
      <c r="A208" t="s">
        <v>274</v>
      </c>
      <c r="B208" s="11">
        <f>-$B180*B145/25</f>
        <v>-37398.357564000005</v>
      </c>
    </row>
    <row r="209" spans="1:2">
      <c r="A209" t="s">
        <v>275</v>
      </c>
      <c r="B209" s="11">
        <f>-$B181*B146/25</f>
        <v>-54222.011955000002</v>
      </c>
    </row>
    <row r="210" spans="1:2">
      <c r="A210" t="s">
        <v>276</v>
      </c>
      <c r="B210" s="11">
        <f>-$B182*B147/25</f>
        <v>-64409.098276500001</v>
      </c>
    </row>
    <row r="211" spans="1:2">
      <c r="A211" t="s">
        <v>277</v>
      </c>
      <c r="B211" s="11">
        <f>-$B183*B148/25</f>
        <v>-6387.2208956934792</v>
      </c>
    </row>
    <row r="213" spans="1:2">
      <c r="A213" t="s">
        <v>373</v>
      </c>
      <c r="B213" s="2">
        <f>B30*24*365</f>
        <v>129385.20000000001</v>
      </c>
    </row>
    <row r="214" spans="1:2">
      <c r="A214" t="s">
        <v>224</v>
      </c>
      <c r="B214" s="2">
        <f>(B21+B20)/$B$158/$B$159/25-B31</f>
        <v>56690.38976888133</v>
      </c>
    </row>
    <row r="215" spans="1:2">
      <c r="A215" t="s">
        <v>232</v>
      </c>
      <c r="B215" s="2">
        <f>B213+B214</f>
        <v>186075.58976888133</v>
      </c>
    </row>
    <row r="216" spans="1:2">
      <c r="B216" s="2"/>
    </row>
    <row r="217" spans="1:2">
      <c r="A217" t="s">
        <v>281</v>
      </c>
      <c r="B217" s="2"/>
    </row>
    <row r="218" spans="1:2">
      <c r="A218" t="s">
        <v>100</v>
      </c>
      <c r="B218" s="2"/>
    </row>
    <row r="219" spans="1:2">
      <c r="A219">
        <v>1</v>
      </c>
      <c r="B219" s="11">
        <f>SUM(B208:B211,B202:B205)</f>
        <v>-178154.37589116202</v>
      </c>
    </row>
    <row r="220" spans="1:2">
      <c r="A220">
        <v>2</v>
      </c>
      <c r="B220" s="11">
        <f t="shared" ref="B220:B238" si="0">B$219/((1+$B$153)^$A220)</f>
        <v>-167927.58590928648</v>
      </c>
    </row>
    <row r="221" spans="1:2">
      <c r="A221">
        <v>3</v>
      </c>
      <c r="B221" s="11">
        <f t="shared" si="0"/>
        <v>-163036.49117406455</v>
      </c>
    </row>
    <row r="222" spans="1:2">
      <c r="A222">
        <v>4</v>
      </c>
      <c r="B222" s="11">
        <f t="shared" si="0"/>
        <v>-158287.85550880054</v>
      </c>
    </row>
    <row r="223" spans="1:2">
      <c r="A223">
        <v>5</v>
      </c>
      <c r="B223" s="11">
        <f t="shared" si="0"/>
        <v>-153677.52962019469</v>
      </c>
    </row>
    <row r="224" spans="1:2">
      <c r="A224">
        <v>6</v>
      </c>
      <c r="B224" s="11">
        <f t="shared" si="0"/>
        <v>-149201.48506815018</v>
      </c>
    </row>
    <row r="225" spans="1:2">
      <c r="A225">
        <v>7</v>
      </c>
      <c r="B225" s="11">
        <f t="shared" si="0"/>
        <v>-144855.81074577686</v>
      </c>
    </row>
    <row r="226" spans="1:2">
      <c r="A226">
        <v>8</v>
      </c>
      <c r="B226" s="11">
        <f t="shared" si="0"/>
        <v>-140636.70946191932</v>
      </c>
    </row>
    <row r="227" spans="1:2">
      <c r="A227">
        <v>9</v>
      </c>
      <c r="B227" s="11">
        <f t="shared" si="0"/>
        <v>-136540.49462322262</v>
      </c>
    </row>
    <row r="228" spans="1:2">
      <c r="A228">
        <v>10</v>
      </c>
      <c r="B228" s="11">
        <f t="shared" si="0"/>
        <v>-132563.5870128375</v>
      </c>
    </row>
    <row r="229" spans="1:2">
      <c r="A229">
        <v>11</v>
      </c>
      <c r="B229" s="11">
        <f t="shared" si="0"/>
        <v>-128702.51166294904</v>
      </c>
    </row>
    <row r="230" spans="1:2">
      <c r="A230">
        <v>12</v>
      </c>
      <c r="B230" s="11">
        <f t="shared" si="0"/>
        <v>-124953.89481839714</v>
      </c>
    </row>
    <row r="231" spans="1:2">
      <c r="A231">
        <v>13</v>
      </c>
      <c r="B231" s="11">
        <f t="shared" si="0"/>
        <v>-121314.4609887351</v>
      </c>
    </row>
    <row r="232" spans="1:2">
      <c r="A232">
        <v>14</v>
      </c>
      <c r="B232" s="11">
        <f t="shared" si="0"/>
        <v>-117781.03008615055</v>
      </c>
    </row>
    <row r="233" spans="1:2">
      <c r="A233">
        <v>15</v>
      </c>
      <c r="B233" s="11">
        <f t="shared" si="0"/>
        <v>-114350.51464674811</v>
      </c>
    </row>
    <row r="234" spans="1:2">
      <c r="A234">
        <v>16</v>
      </c>
      <c r="B234" s="11">
        <f t="shared" si="0"/>
        <v>-111019.91713276517</v>
      </c>
    </row>
    <row r="235" spans="1:2">
      <c r="A235">
        <v>17</v>
      </c>
      <c r="B235" s="11">
        <f t="shared" si="0"/>
        <v>-107786.32731336425</v>
      </c>
    </row>
    <row r="236" spans="1:2">
      <c r="A236">
        <v>18</v>
      </c>
      <c r="B236" s="11">
        <f t="shared" si="0"/>
        <v>-104646.91972171285</v>
      </c>
    </row>
    <row r="237" spans="1:2">
      <c r="A237">
        <v>19</v>
      </c>
      <c r="B237" s="11">
        <f t="shared" si="0"/>
        <v>-101598.95118612899</v>
      </c>
    </row>
    <row r="238" spans="1:2">
      <c r="A238">
        <v>20</v>
      </c>
      <c r="B238" s="11">
        <f t="shared" si="0"/>
        <v>-98639.75843313495</v>
      </c>
    </row>
    <row r="239" spans="1:2">
      <c r="B239" s="11"/>
    </row>
    <row r="240" spans="1:2">
      <c r="A240" t="s">
        <v>282</v>
      </c>
      <c r="B240" s="11">
        <f>SUM(B219:B238)</f>
        <v>-2655676.2110055005</v>
      </c>
    </row>
    <row r="242" spans="1:2">
      <c r="A242" t="s">
        <v>101</v>
      </c>
    </row>
    <row r="243" spans="1:2">
      <c r="A243" t="s">
        <v>100</v>
      </c>
    </row>
    <row r="244" spans="1:2">
      <c r="A244">
        <v>1</v>
      </c>
      <c r="B244" s="11">
        <f>-$B$157*B213</f>
        <v>-926829.31600000022</v>
      </c>
    </row>
    <row r="245" spans="1:2">
      <c r="A245">
        <v>2</v>
      </c>
      <c r="B245" s="11">
        <f t="shared" ref="B245:B263" si="1">B$244/((1+$B$153)^$A245)</f>
        <v>-873625.52172683598</v>
      </c>
    </row>
    <row r="246" spans="1:2">
      <c r="A246">
        <v>3</v>
      </c>
      <c r="B246" s="11">
        <f t="shared" si="1"/>
        <v>-848180.11818139406</v>
      </c>
    </row>
    <row r="247" spans="1:2">
      <c r="A247">
        <v>4</v>
      </c>
      <c r="B247" s="11">
        <f t="shared" si="1"/>
        <v>-823475.8428945574</v>
      </c>
    </row>
    <row r="248" spans="1:2">
      <c r="A248">
        <v>5</v>
      </c>
      <c r="B248" s="11">
        <f t="shared" si="1"/>
        <v>-799491.10960636649</v>
      </c>
    </row>
    <row r="249" spans="1:2">
      <c r="A249">
        <v>6</v>
      </c>
      <c r="B249" s="11">
        <f t="shared" si="1"/>
        <v>-776204.96078288008</v>
      </c>
    </row>
    <row r="250" spans="1:2">
      <c r="A250">
        <v>7</v>
      </c>
      <c r="B250" s="11">
        <f t="shared" si="1"/>
        <v>-753597.04930376704</v>
      </c>
    </row>
    <row r="251" spans="1:2">
      <c r="A251">
        <v>8</v>
      </c>
      <c r="B251" s="11">
        <f t="shared" si="1"/>
        <v>-731647.62068326899</v>
      </c>
    </row>
    <row r="252" spans="1:2">
      <c r="A252">
        <v>9</v>
      </c>
      <c r="B252" s="11">
        <f t="shared" si="1"/>
        <v>-710337.49580899905</v>
      </c>
    </row>
    <row r="253" spans="1:2">
      <c r="A253">
        <v>10</v>
      </c>
      <c r="B253" s="11">
        <f t="shared" si="1"/>
        <v>-689648.05418349418</v>
      </c>
    </row>
    <row r="254" spans="1:2">
      <c r="A254">
        <v>11</v>
      </c>
      <c r="B254" s="11">
        <f t="shared" si="1"/>
        <v>-669561.2176538778</v>
      </c>
    </row>
    <row r="255" spans="1:2">
      <c r="A255">
        <v>12</v>
      </c>
      <c r="B255" s="11">
        <f t="shared" si="1"/>
        <v>-650059.43461541552</v>
      </c>
    </row>
    <row r="256" spans="1:2">
      <c r="A256">
        <v>13</v>
      </c>
      <c r="B256" s="11">
        <f t="shared" si="1"/>
        <v>-631125.66467516066</v>
      </c>
    </row>
    <row r="257" spans="1:2">
      <c r="A257">
        <v>14</v>
      </c>
      <c r="B257" s="11">
        <f t="shared" si="1"/>
        <v>-612743.36376229185</v>
      </c>
    </row>
    <row r="258" spans="1:2">
      <c r="A258">
        <v>15</v>
      </c>
      <c r="B258" s="11">
        <f t="shared" si="1"/>
        <v>-594896.46967212798</v>
      </c>
    </row>
    <row r="259" spans="1:2">
      <c r="A259">
        <v>16</v>
      </c>
      <c r="B259" s="11">
        <f t="shared" si="1"/>
        <v>-577569.38803119236</v>
      </c>
    </row>
    <row r="260" spans="1:2">
      <c r="A260">
        <v>17</v>
      </c>
      <c r="B260" s="11">
        <f t="shared" si="1"/>
        <v>-560746.97867106053</v>
      </c>
    </row>
    <row r="261" spans="1:2">
      <c r="A261">
        <v>18</v>
      </c>
      <c r="B261" s="11">
        <f t="shared" si="1"/>
        <v>-544414.5423990878</v>
      </c>
    </row>
    <row r="262" spans="1:2">
      <c r="A262">
        <v>19</v>
      </c>
      <c r="B262" s="11">
        <f t="shared" si="1"/>
        <v>-528557.80815445422</v>
      </c>
    </row>
    <row r="263" spans="1:2">
      <c r="A263">
        <v>20</v>
      </c>
      <c r="B263" s="11">
        <f t="shared" si="1"/>
        <v>-513162.92053830507</v>
      </c>
    </row>
    <row r="264" spans="1:2">
      <c r="B264" s="11"/>
    </row>
    <row r="265" spans="1:2">
      <c r="A265" t="s">
        <v>225</v>
      </c>
      <c r="B265" s="11">
        <f>SUM(B244:B263)</f>
        <v>-13815874.877344536</v>
      </c>
    </row>
    <row r="267" spans="1:2">
      <c r="A267" t="s">
        <v>200</v>
      </c>
    </row>
    <row r="268" spans="1:2">
      <c r="A268" t="s">
        <v>100</v>
      </c>
    </row>
    <row r="269" spans="1:2">
      <c r="A269">
        <v>1</v>
      </c>
      <c r="B269" s="11">
        <f>-$B$156*B214</f>
        <v>-452956.21425336186</v>
      </c>
    </row>
    <row r="270" spans="1:2">
      <c r="A270">
        <v>2</v>
      </c>
      <c r="B270" s="11">
        <f t="shared" ref="B270:B288" si="2">B$269/((1+$B$153)^$A270)</f>
        <v>-426954.67457193125</v>
      </c>
    </row>
    <row r="271" spans="1:2">
      <c r="A271">
        <v>3</v>
      </c>
      <c r="B271" s="11">
        <f t="shared" si="2"/>
        <v>-414519.10152614681</v>
      </c>
    </row>
    <row r="272" spans="1:2">
      <c r="A272">
        <v>4</v>
      </c>
      <c r="B272" s="11">
        <f t="shared" si="2"/>
        <v>-402445.72963703581</v>
      </c>
    </row>
    <row r="273" spans="1:2">
      <c r="A273">
        <v>5</v>
      </c>
      <c r="B273" s="11">
        <f t="shared" si="2"/>
        <v>-390724.00935634546</v>
      </c>
    </row>
    <row r="274" spans="1:2">
      <c r="A274">
        <v>6</v>
      </c>
      <c r="B274" s="11">
        <f t="shared" si="2"/>
        <v>-379343.69840421889</v>
      </c>
    </row>
    <row r="275" spans="1:2">
      <c r="A275">
        <v>7</v>
      </c>
      <c r="B275" s="11">
        <f t="shared" si="2"/>
        <v>-368294.85281962994</v>
      </c>
    </row>
    <row r="276" spans="1:2">
      <c r="A276">
        <v>8</v>
      </c>
      <c r="B276" s="11">
        <f t="shared" si="2"/>
        <v>-357567.81827148545</v>
      </c>
    </row>
    <row r="277" spans="1:2">
      <c r="A277">
        <v>9</v>
      </c>
      <c r="B277" s="11">
        <f t="shared" si="2"/>
        <v>-347153.22162280139</v>
      </c>
    </row>
    <row r="278" spans="1:2">
      <c r="A278">
        <v>10</v>
      </c>
      <c r="B278" s="11">
        <f t="shared" si="2"/>
        <v>-337041.96274058387</v>
      </c>
    </row>
    <row r="279" spans="1:2">
      <c r="A279">
        <v>11</v>
      </c>
      <c r="B279" s="11">
        <f t="shared" si="2"/>
        <v>-327225.20654425619</v>
      </c>
    </row>
    <row r="280" spans="1:2">
      <c r="A280">
        <v>12</v>
      </c>
      <c r="B280" s="11">
        <f t="shared" si="2"/>
        <v>-317694.37528568564</v>
      </c>
    </row>
    <row r="281" spans="1:2">
      <c r="A281">
        <v>13</v>
      </c>
      <c r="B281" s="11">
        <f t="shared" si="2"/>
        <v>-308441.14105406374</v>
      </c>
    </row>
    <row r="282" spans="1:2">
      <c r="A282">
        <v>14</v>
      </c>
      <c r="B282" s="11">
        <f t="shared" si="2"/>
        <v>-299457.418499091</v>
      </c>
    </row>
    <row r="283" spans="1:2">
      <c r="A283">
        <v>15</v>
      </c>
      <c r="B283" s="11">
        <f t="shared" si="2"/>
        <v>-290735.35776610771</v>
      </c>
    </row>
    <row r="284" spans="1:2">
      <c r="A284">
        <v>16</v>
      </c>
      <c r="B284" s="11">
        <f t="shared" si="2"/>
        <v>-282267.33763699787</v>
      </c>
    </row>
    <row r="285" spans="1:2">
      <c r="A285">
        <v>17</v>
      </c>
      <c r="B285" s="11">
        <f t="shared" si="2"/>
        <v>-274045.95887087169</v>
      </c>
    </row>
    <row r="286" spans="1:2">
      <c r="A286">
        <v>18</v>
      </c>
      <c r="B286" s="11">
        <f t="shared" si="2"/>
        <v>-266064.03773871041</v>
      </c>
    </row>
    <row r="287" spans="1:2">
      <c r="A287">
        <v>19</v>
      </c>
      <c r="B287" s="11">
        <f t="shared" si="2"/>
        <v>-258314.59974632078</v>
      </c>
    </row>
    <row r="288" spans="1:2">
      <c r="A288">
        <v>20</v>
      </c>
      <c r="B288" s="11">
        <f t="shared" si="2"/>
        <v>-250790.87354011726</v>
      </c>
    </row>
    <row r="290" spans="1:2">
      <c r="A290" t="s">
        <v>226</v>
      </c>
      <c r="B290" s="11">
        <f>SUM(B269:B288)</f>
        <v>-6752037.5898857638</v>
      </c>
    </row>
    <row r="292" spans="1:2">
      <c r="A292" t="s">
        <v>227</v>
      </c>
      <c r="B292" s="11">
        <f>B290+B265+B197+B195+$B$192+$B$191+B240</f>
        <v>21141875662.789482</v>
      </c>
    </row>
  </sheetData>
  <pageMargins left="0.7" right="0.7" top="0.75" bottom="0.75" header="0.3" footer="0.3"/>
  <pageSetup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P5:U57"/>
  <sheetViews>
    <sheetView topLeftCell="K1" workbookViewId="0">
      <selection activeCell="S14" sqref="S14"/>
    </sheetView>
  </sheetViews>
  <sheetFormatPr defaultRowHeight="15"/>
  <cols>
    <col min="16" max="19" width="10.7109375" customWidth="1"/>
    <col min="20" max="20" width="12.28515625" customWidth="1"/>
    <col min="21" max="21" width="10.7109375" customWidth="1"/>
  </cols>
  <sheetData>
    <row r="5" spans="16:20">
      <c r="P5" s="14" t="s">
        <v>240</v>
      </c>
    </row>
    <row r="7" spans="16:20" ht="30" customHeight="1">
      <c r="P7" s="41" t="s">
        <v>241</v>
      </c>
      <c r="Q7" s="41" t="s">
        <v>242</v>
      </c>
      <c r="R7" s="41" t="s">
        <v>243</v>
      </c>
      <c r="S7" s="41" t="s">
        <v>244</v>
      </c>
      <c r="T7" s="41" t="s">
        <v>325</v>
      </c>
    </row>
    <row r="8" spans="16:20">
      <c r="P8" s="2">
        <v>50</v>
      </c>
      <c r="Q8">
        <v>0.55000000000000004</v>
      </c>
      <c r="R8" s="42">
        <v>0.53</v>
      </c>
      <c r="S8" s="4">
        <f>P8*Q8*R8</f>
        <v>14.575000000000003</v>
      </c>
      <c r="T8" s="4">
        <f>S8/P8</f>
        <v>0.29150000000000004</v>
      </c>
    </row>
    <row r="9" spans="16:20">
      <c r="P9" s="2">
        <v>100</v>
      </c>
      <c r="Q9">
        <v>0.55000000000000004</v>
      </c>
      <c r="R9" s="42">
        <v>0.3</v>
      </c>
      <c r="S9" s="4">
        <f t="shared" ref="S9:S14" si="0">P9*Q9*R9</f>
        <v>16.5</v>
      </c>
      <c r="T9" s="4">
        <f t="shared" ref="T9:T18" si="1">S9/P9</f>
        <v>0.16500000000000001</v>
      </c>
    </row>
    <row r="10" spans="16:20">
      <c r="P10" s="2">
        <v>150</v>
      </c>
      <c r="Q10">
        <v>0.55000000000000004</v>
      </c>
      <c r="R10" s="42">
        <v>0.25</v>
      </c>
      <c r="S10" s="4">
        <f t="shared" si="0"/>
        <v>20.625</v>
      </c>
      <c r="T10" s="4">
        <f>S10/P10</f>
        <v>0.13750000000000001</v>
      </c>
    </row>
    <row r="11" spans="16:20">
      <c r="P11" s="43">
        <v>202</v>
      </c>
      <c r="Q11" s="43"/>
      <c r="R11" s="43"/>
      <c r="S11" s="44">
        <f>S10+(S14-S10)*(P11-P10) / (P14-P10)</f>
        <v>21.041</v>
      </c>
      <c r="T11" s="4">
        <f t="shared" si="1"/>
        <v>0.10416336633663366</v>
      </c>
    </row>
    <row r="12" spans="16:20">
      <c r="P12" s="43">
        <v>314</v>
      </c>
      <c r="Q12" s="43"/>
      <c r="R12" s="43"/>
      <c r="S12" s="44">
        <f>S10+(S14-S10)*(P12-P10) / (P14-P10)</f>
        <v>21.937000000000001</v>
      </c>
      <c r="T12" s="4">
        <f>S12/P12</f>
        <v>6.9863057324840772E-2</v>
      </c>
    </row>
    <row r="13" spans="16:20">
      <c r="P13" s="43">
        <v>365</v>
      </c>
      <c r="Q13" s="43"/>
      <c r="R13" s="43"/>
      <c r="S13" s="44">
        <f>S10+(S14-S10)*(P13-P10) / (P14-P10)</f>
        <v>22.345000000000002</v>
      </c>
      <c r="T13" s="4">
        <f>S13/P13</f>
        <v>6.1219178082191787E-2</v>
      </c>
    </row>
    <row r="14" spans="16:20">
      <c r="P14" s="2">
        <v>370</v>
      </c>
      <c r="Q14">
        <v>0.55000000000000004</v>
      </c>
      <c r="R14" s="42">
        <v>0.11</v>
      </c>
      <c r="S14" s="4">
        <f t="shared" si="0"/>
        <v>22.385000000000002</v>
      </c>
      <c r="T14" s="4">
        <f t="shared" si="1"/>
        <v>6.0500000000000005E-2</v>
      </c>
    </row>
    <row r="15" spans="16:20">
      <c r="P15" s="43">
        <v>397</v>
      </c>
      <c r="Q15" s="43"/>
      <c r="R15" s="43"/>
      <c r="S15" s="44">
        <f>S14+(S16-S14)*(P15-P14) / (P16-P14)</f>
        <v>22.856326086956525</v>
      </c>
      <c r="T15" s="4">
        <f t="shared" si="1"/>
        <v>5.7572609790822481E-2</v>
      </c>
    </row>
    <row r="16" spans="16:20">
      <c r="P16" s="2">
        <v>600</v>
      </c>
      <c r="Q16">
        <v>0.55000000000000004</v>
      </c>
      <c r="R16" s="42">
        <v>0.08</v>
      </c>
      <c r="S16" s="4">
        <f>P16*Q16*R16</f>
        <v>26.400000000000002</v>
      </c>
      <c r="T16" s="4">
        <f t="shared" si="1"/>
        <v>4.4000000000000004E-2</v>
      </c>
    </row>
    <row r="17" spans="16:20">
      <c r="P17" s="2">
        <v>950</v>
      </c>
      <c r="Q17">
        <v>0.55000000000000004</v>
      </c>
      <c r="R17" s="42">
        <v>5.1999999999999998E-2</v>
      </c>
      <c r="S17" s="4">
        <f>P17*Q17*R17</f>
        <v>27.169999999999998</v>
      </c>
      <c r="T17" s="4">
        <f t="shared" si="1"/>
        <v>2.8599999999999997E-2</v>
      </c>
    </row>
    <row r="18" spans="16:20">
      <c r="P18" s="2">
        <v>1300</v>
      </c>
      <c r="Q18">
        <v>0.55000000000000004</v>
      </c>
      <c r="R18" s="42">
        <v>0.04</v>
      </c>
      <c r="S18" s="4">
        <f>P18*Q18*R18</f>
        <v>28.600000000000005</v>
      </c>
      <c r="T18" s="4">
        <f t="shared" si="1"/>
        <v>2.2000000000000002E-2</v>
      </c>
    </row>
    <row r="21" spans="16:20">
      <c r="P21" s="14" t="s">
        <v>245</v>
      </c>
    </row>
    <row r="22" spans="16:20">
      <c r="P22" t="s">
        <v>246</v>
      </c>
    </row>
    <row r="24" spans="16:20">
      <c r="P24">
        <v>0.75</v>
      </c>
      <c r="Q24" s="45" t="s">
        <v>247</v>
      </c>
    </row>
    <row r="26" spans="16:20" ht="30">
      <c r="P26" s="41" t="s">
        <v>241</v>
      </c>
      <c r="Q26" s="41" t="s">
        <v>242</v>
      </c>
      <c r="R26" s="41" t="s">
        <v>243</v>
      </c>
      <c r="S26" s="41" t="s">
        <v>244</v>
      </c>
      <c r="T26" s="41" t="s">
        <v>325</v>
      </c>
    </row>
    <row r="27" spans="16:20">
      <c r="P27" s="43">
        <v>202</v>
      </c>
      <c r="Q27" s="43"/>
      <c r="R27" s="43"/>
      <c r="S27" s="44">
        <f>$P$24 * S11</f>
        <v>15.780750000000001</v>
      </c>
      <c r="T27" s="4">
        <f>S27/P27</f>
        <v>7.8122524752475248E-2</v>
      </c>
    </row>
    <row r="28" spans="16:20">
      <c r="P28" s="43">
        <v>314</v>
      </c>
      <c r="Q28" s="43"/>
      <c r="R28" s="43"/>
      <c r="S28" s="44">
        <f>$P$24 * S12</f>
        <v>16.452750000000002</v>
      </c>
      <c r="T28" s="4">
        <f>S28/P28</f>
        <v>5.2397292993630579E-2</v>
      </c>
    </row>
    <row r="29" spans="16:20">
      <c r="P29" s="43">
        <v>365</v>
      </c>
      <c r="S29" s="44">
        <f>$P$24 * S13</f>
        <v>16.758750000000003</v>
      </c>
      <c r="T29" s="4">
        <f>S29/P29</f>
        <v>4.5914383561643846E-2</v>
      </c>
    </row>
    <row r="30" spans="16:20">
      <c r="P30" s="43">
        <v>397</v>
      </c>
      <c r="R30" s="42"/>
      <c r="S30" s="44">
        <f>$P$24 * S15</f>
        <v>17.142244565217393</v>
      </c>
      <c r="T30" s="4">
        <f>S30/P30</f>
        <v>4.3179457343116859E-2</v>
      </c>
    </row>
    <row r="31" spans="16:20">
      <c r="P31" s="2"/>
      <c r="R31" s="42"/>
      <c r="S31" s="4"/>
      <c r="T31" s="4"/>
    </row>
    <row r="32" spans="16:20">
      <c r="P32" s="2"/>
      <c r="R32" s="42"/>
      <c r="S32" s="4"/>
      <c r="T32" s="4"/>
    </row>
    <row r="57" spans="20:21">
      <c r="T57" s="46"/>
      <c r="U57" s="47"/>
    </row>
  </sheetData>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O3:R27"/>
  <sheetViews>
    <sheetView workbookViewId="0">
      <selection activeCell="P5" sqref="P5"/>
    </sheetView>
  </sheetViews>
  <sheetFormatPr defaultRowHeight="15"/>
  <cols>
    <col min="15" max="15" width="12.140625" customWidth="1"/>
    <col min="16" max="17" width="12.5703125" customWidth="1"/>
  </cols>
  <sheetData>
    <row r="3" spans="15:18" ht="30">
      <c r="O3" s="49" t="s">
        <v>257</v>
      </c>
      <c r="P3" s="49" t="s">
        <v>258</v>
      </c>
      <c r="Q3" s="49" t="s">
        <v>259</v>
      </c>
      <c r="R3" s="50" t="s">
        <v>260</v>
      </c>
    </row>
    <row r="4" spans="15:18">
      <c r="O4">
        <v>180</v>
      </c>
      <c r="P4" s="1">
        <v>74000</v>
      </c>
      <c r="Q4" s="1"/>
      <c r="R4" s="2">
        <f>P4/O4</f>
        <v>411.11111111111109</v>
      </c>
    </row>
    <row r="5" spans="15:18">
      <c r="O5">
        <v>370</v>
      </c>
      <c r="P5" s="1">
        <v>152000</v>
      </c>
      <c r="Q5" s="1"/>
      <c r="R5" s="2">
        <f>P5/O5</f>
        <v>410.81081081081084</v>
      </c>
    </row>
    <row r="6" spans="15:18">
      <c r="O6">
        <v>500</v>
      </c>
      <c r="P6" s="1"/>
      <c r="Q6" s="1">
        <v>205000</v>
      </c>
      <c r="R6" s="2">
        <f>Q6/O6</f>
        <v>410</v>
      </c>
    </row>
    <row r="7" spans="15:18" ht="15" customHeight="1">
      <c r="O7">
        <v>750</v>
      </c>
      <c r="P7" s="1"/>
      <c r="Q7" s="1">
        <v>290000</v>
      </c>
      <c r="R7" s="2">
        <f>Q7/O7</f>
        <v>386.66666666666669</v>
      </c>
    </row>
    <row r="12" spans="15:18">
      <c r="P12" s="2"/>
      <c r="Q12" s="2"/>
    </row>
    <row r="13" spans="15:18">
      <c r="P13" s="2"/>
      <c r="Q13" s="2"/>
    </row>
    <row r="14" spans="15:18">
      <c r="P14" s="2"/>
      <c r="Q14" s="2"/>
    </row>
    <row r="15" spans="15:18">
      <c r="P15" s="2"/>
      <c r="Q15" s="2"/>
    </row>
    <row r="27" spans="15:15">
      <c r="O27" t="s">
        <v>280</v>
      </c>
    </row>
  </sheetData>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8"/>
  <sheetViews>
    <sheetView topLeftCell="A11" workbookViewId="0">
      <selection activeCell="E11" sqref="E11"/>
    </sheetView>
  </sheetViews>
  <sheetFormatPr defaultRowHeight="15"/>
  <cols>
    <col min="1" max="1" width="35.5703125" bestFit="1" customWidth="1"/>
    <col min="2" max="2" width="17.5703125" bestFit="1" customWidth="1"/>
    <col min="4" max="4" width="18" customWidth="1"/>
    <col min="5" max="5" width="17.42578125" customWidth="1"/>
    <col min="6" max="6" width="22.5703125" customWidth="1"/>
    <col min="7" max="7" width="24.5703125" customWidth="1"/>
  </cols>
  <sheetData>
    <row r="1" spans="1:8">
      <c r="A1" s="14" t="s">
        <v>155</v>
      </c>
    </row>
    <row r="2" spans="1:8">
      <c r="A2" t="s">
        <v>160</v>
      </c>
      <c r="B2">
        <v>25</v>
      </c>
      <c r="F2" s="56"/>
    </row>
    <row r="3" spans="1:8">
      <c r="A3" t="s">
        <v>2</v>
      </c>
      <c r="B3" s="3">
        <v>0.03</v>
      </c>
    </row>
    <row r="4" spans="1:8">
      <c r="A4" t="s">
        <v>154</v>
      </c>
      <c r="B4" s="9">
        <v>0.01</v>
      </c>
      <c r="F4" s="56"/>
    </row>
    <row r="5" spans="1:8">
      <c r="A5" t="s">
        <v>162</v>
      </c>
      <c r="B5">
        <v>1</v>
      </c>
      <c r="D5" t="s">
        <v>342</v>
      </c>
      <c r="E5" t="s">
        <v>346</v>
      </c>
      <c r="F5" t="s">
        <v>348</v>
      </c>
    </row>
    <row r="6" spans="1:8">
      <c r="A6" t="s">
        <v>99</v>
      </c>
      <c r="B6" s="4">
        <f>G9*B5</f>
        <v>7.99</v>
      </c>
      <c r="D6" t="s">
        <v>343</v>
      </c>
      <c r="E6" t="s">
        <v>343</v>
      </c>
      <c r="F6" t="s">
        <v>343</v>
      </c>
    </row>
    <row r="7" spans="1:8">
      <c r="A7" t="s">
        <v>98</v>
      </c>
      <c r="B7" s="4">
        <f>G8*B5</f>
        <v>7.163333333333334</v>
      </c>
      <c r="D7" t="s">
        <v>344</v>
      </c>
      <c r="E7" s="57" t="s">
        <v>345</v>
      </c>
      <c r="F7" s="57" t="s">
        <v>347</v>
      </c>
    </row>
    <row r="8" spans="1:8">
      <c r="A8" t="s">
        <v>102</v>
      </c>
      <c r="B8">
        <v>134000</v>
      </c>
      <c r="D8" s="4">
        <v>9</v>
      </c>
      <c r="E8" s="4">
        <v>4.07</v>
      </c>
      <c r="F8" s="4">
        <v>8.42</v>
      </c>
      <c r="G8" s="4">
        <f>SUM(D8:F8)/3</f>
        <v>7.163333333333334</v>
      </c>
      <c r="H8" t="s">
        <v>349</v>
      </c>
    </row>
    <row r="9" spans="1:8">
      <c r="A9" t="s">
        <v>103</v>
      </c>
      <c r="B9">
        <v>2.93071E-4</v>
      </c>
      <c r="D9" s="4">
        <v>9.18</v>
      </c>
      <c r="E9" s="4">
        <v>6.8</v>
      </c>
      <c r="F9" s="4"/>
      <c r="G9" s="4">
        <f>SUM(D9:F9)/2</f>
        <v>7.99</v>
      </c>
      <c r="H9" t="s">
        <v>350</v>
      </c>
    </row>
    <row r="10" spans="1:8">
      <c r="A10" t="s">
        <v>228</v>
      </c>
      <c r="B10">
        <v>186075.58976888133</v>
      </c>
    </row>
    <row r="11" spans="1:8">
      <c r="A11" t="s">
        <v>285</v>
      </c>
      <c r="B11" s="11">
        <f>'NO-EE Detailed'!B240</f>
        <v>-2655676.2110055005</v>
      </c>
    </row>
    <row r="12" spans="1:8">
      <c r="A12" t="s">
        <v>235</v>
      </c>
      <c r="B12" s="11">
        <f>'NO-EE Detailed'!B265</f>
        <v>-13815874.877344536</v>
      </c>
    </row>
    <row r="13" spans="1:8">
      <c r="A13" t="s">
        <v>234</v>
      </c>
      <c r="B13" s="11">
        <f>'NO-EE Detailed'!B290</f>
        <v>-6752037.5898857638</v>
      </c>
    </row>
    <row r="14" spans="1:8">
      <c r="A14" t="s">
        <v>229</v>
      </c>
      <c r="B14" s="11">
        <f>'NO-EE Detailed'!B292</f>
        <v>21141875662.789482</v>
      </c>
    </row>
    <row r="15" spans="1:8">
      <c r="B15" s="39"/>
    </row>
    <row r="16" spans="1:8">
      <c r="A16" t="s">
        <v>215</v>
      </c>
      <c r="B16" s="39">
        <v>0.14929999999999999</v>
      </c>
    </row>
    <row r="17" spans="1:2">
      <c r="A17" t="s">
        <v>215</v>
      </c>
      <c r="B17" s="39">
        <v>-0.90090000000000003</v>
      </c>
    </row>
    <row r="18" spans="1:2">
      <c r="A18" t="s">
        <v>215</v>
      </c>
      <c r="B18" s="39">
        <v>16.515000000000001</v>
      </c>
    </row>
    <row r="19" spans="1:2">
      <c r="B19" s="39"/>
    </row>
    <row r="20" spans="1:2">
      <c r="A20" t="s">
        <v>216</v>
      </c>
      <c r="B20" s="39">
        <v>0.1123</v>
      </c>
    </row>
    <row r="21" spans="1:2">
      <c r="A21" t="s">
        <v>216</v>
      </c>
      <c r="B21" s="39">
        <v>-0.6774</v>
      </c>
    </row>
    <row r="22" spans="1:2">
      <c r="A22" t="s">
        <v>216</v>
      </c>
      <c r="B22" s="39">
        <v>12.417999999999999</v>
      </c>
    </row>
    <row r="23" spans="1:2">
      <c r="B23" s="39"/>
    </row>
    <row r="24" spans="1:2">
      <c r="A24" t="s">
        <v>217</v>
      </c>
      <c r="B24" s="2">
        <f>43679901.88/25</f>
        <v>1747196.0752000001</v>
      </c>
    </row>
    <row r="25" spans="1:2">
      <c r="A25" t="s">
        <v>223</v>
      </c>
      <c r="B25" s="2">
        <f>70329066.63/25</f>
        <v>2813162.6651999997</v>
      </c>
    </row>
    <row r="27" spans="1:2">
      <c r="A27" t="s">
        <v>267</v>
      </c>
      <c r="B27">
        <v>80000</v>
      </c>
    </row>
    <row r="28" spans="1:2">
      <c r="A28" t="s">
        <v>272</v>
      </c>
      <c r="B28">
        <v>410.53</v>
      </c>
    </row>
    <row r="29" spans="1:2">
      <c r="A29" t="s">
        <v>273</v>
      </c>
      <c r="B29">
        <v>105.26</v>
      </c>
    </row>
    <row r="31" spans="1:2">
      <c r="A31" t="s">
        <v>271</v>
      </c>
      <c r="B31" s="11">
        <v>15.780750000000001</v>
      </c>
    </row>
    <row r="32" spans="1:2">
      <c r="A32" t="s">
        <v>270</v>
      </c>
      <c r="B32" s="11">
        <v>16.452750000000002</v>
      </c>
    </row>
    <row r="33" spans="1:3">
      <c r="A33" t="s">
        <v>268</v>
      </c>
      <c r="B33" s="11">
        <v>16.758750000000003</v>
      </c>
    </row>
    <row r="34" spans="1:3">
      <c r="A34" t="s">
        <v>269</v>
      </c>
      <c r="B34" s="11">
        <v>17.142244565217393</v>
      </c>
    </row>
    <row r="36" spans="1:3">
      <c r="A36" t="s">
        <v>335</v>
      </c>
      <c r="B36" s="11">
        <v>560000</v>
      </c>
    </row>
    <row r="37" spans="1:3">
      <c r="A37" t="s">
        <v>332</v>
      </c>
      <c r="B37" s="54">
        <v>17500</v>
      </c>
      <c r="C37" t="s">
        <v>327</v>
      </c>
    </row>
    <row r="38" spans="1:3">
      <c r="A38" t="s">
        <v>329</v>
      </c>
      <c r="B38" s="11">
        <v>0.54</v>
      </c>
      <c r="C38" t="s">
        <v>327</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V346"/>
  <sheetViews>
    <sheetView topLeftCell="K1" workbookViewId="0">
      <selection activeCell="P3" sqref="P3:P16"/>
    </sheetView>
  </sheetViews>
  <sheetFormatPr defaultRowHeight="15"/>
  <cols>
    <col min="1" max="1" width="45.5703125" customWidth="1"/>
    <col min="2" max="2" width="17.85546875" bestFit="1" customWidth="1"/>
    <col min="3" max="16" width="16.85546875" customWidth="1"/>
  </cols>
  <sheetData>
    <row r="2" spans="1:16">
      <c r="A2" s="14" t="s">
        <v>296</v>
      </c>
    </row>
    <row r="3" spans="1:16">
      <c r="A3" s="10" t="s">
        <v>7</v>
      </c>
      <c r="B3" t="str">
        <f t="shared" ref="B3:P3" si="0">B43</f>
        <v>No Generator</v>
      </c>
      <c r="C3" t="str">
        <f t="shared" si="0"/>
        <v>SG 200</v>
      </c>
      <c r="D3" t="str">
        <f t="shared" si="0"/>
        <v>SG 300</v>
      </c>
      <c r="E3" t="str">
        <f t="shared" si="0"/>
        <v>SG 300</v>
      </c>
      <c r="F3" t="str">
        <f t="shared" si="0"/>
        <v>SG 300</v>
      </c>
      <c r="G3" t="str">
        <f t="shared" si="0"/>
        <v>SG 500</v>
      </c>
      <c r="H3" t="str">
        <f t="shared" si="0"/>
        <v>SG 500</v>
      </c>
      <c r="I3" t="str">
        <f t="shared" si="0"/>
        <v>SG 500</v>
      </c>
      <c r="J3" t="str">
        <f t="shared" si="0"/>
        <v>SG 500</v>
      </c>
      <c r="K3" t="str">
        <f t="shared" si="0"/>
        <v>SG 500</v>
      </c>
      <c r="L3" t="str">
        <f t="shared" si="0"/>
        <v>SG 200</v>
      </c>
      <c r="M3" t="str">
        <f t="shared" si="0"/>
        <v>SG 200</v>
      </c>
      <c r="N3" t="str">
        <f t="shared" si="0"/>
        <v>SG 300</v>
      </c>
      <c r="O3" t="str">
        <f t="shared" si="0"/>
        <v>SG 500</v>
      </c>
      <c r="P3" t="str">
        <f t="shared" si="0"/>
        <v>SG 500</v>
      </c>
    </row>
    <row r="4" spans="1:16">
      <c r="A4" s="10" t="s">
        <v>9</v>
      </c>
      <c r="B4" t="str">
        <f t="shared" ref="B4:P4" si="1">B44</f>
        <v>No Generator</v>
      </c>
      <c r="C4" t="str">
        <f t="shared" si="1"/>
        <v>No Generator</v>
      </c>
      <c r="D4" t="str">
        <f t="shared" si="1"/>
        <v>No Generator</v>
      </c>
      <c r="E4" t="str">
        <f t="shared" si="1"/>
        <v>No Generator</v>
      </c>
      <c r="F4" t="str">
        <f t="shared" si="1"/>
        <v>No Generator</v>
      </c>
      <c r="G4" t="str">
        <f t="shared" si="1"/>
        <v>No Generator</v>
      </c>
      <c r="H4" t="str">
        <f t="shared" si="1"/>
        <v>No Generator</v>
      </c>
      <c r="I4" t="str">
        <f t="shared" si="1"/>
        <v>No Generator</v>
      </c>
      <c r="J4" t="str">
        <f t="shared" si="1"/>
        <v>No Generator</v>
      </c>
      <c r="K4" t="str">
        <f t="shared" si="1"/>
        <v>No Generator</v>
      </c>
      <c r="L4" t="str">
        <f t="shared" si="1"/>
        <v>No Generator</v>
      </c>
      <c r="M4" t="str">
        <f t="shared" si="1"/>
        <v>No Generator</v>
      </c>
      <c r="N4" t="str">
        <f t="shared" si="1"/>
        <v>No Generator</v>
      </c>
      <c r="O4" t="str">
        <f t="shared" si="1"/>
        <v>No Generator</v>
      </c>
      <c r="P4" t="str">
        <f t="shared" si="1"/>
        <v>No Generator</v>
      </c>
    </row>
    <row r="5" spans="1:16">
      <c r="A5" s="10" t="s">
        <v>10</v>
      </c>
      <c r="B5" t="str">
        <f t="shared" ref="B5:P5" si="2">B45</f>
        <v>No Generator</v>
      </c>
      <c r="C5" t="str">
        <f t="shared" si="2"/>
        <v>No Generator</v>
      </c>
      <c r="D5" t="str">
        <f t="shared" si="2"/>
        <v>No Generator</v>
      </c>
      <c r="E5" t="str">
        <f t="shared" si="2"/>
        <v>No Generator</v>
      </c>
      <c r="F5" t="str">
        <f t="shared" si="2"/>
        <v>WG 100</v>
      </c>
      <c r="G5" t="str">
        <f t="shared" si="2"/>
        <v>No Generator</v>
      </c>
      <c r="H5" t="str">
        <f t="shared" si="2"/>
        <v>No Generator</v>
      </c>
      <c r="I5" t="str">
        <f t="shared" si="2"/>
        <v>WG 100</v>
      </c>
      <c r="J5" t="str">
        <f t="shared" si="2"/>
        <v>WG 100</v>
      </c>
      <c r="K5" t="str">
        <f t="shared" si="2"/>
        <v>WG 200</v>
      </c>
      <c r="L5" t="str">
        <f t="shared" si="2"/>
        <v>WG 500</v>
      </c>
      <c r="M5" t="str">
        <f t="shared" si="2"/>
        <v>WG 500</v>
      </c>
      <c r="N5" t="str">
        <f t="shared" si="2"/>
        <v>WG 500</v>
      </c>
      <c r="O5" t="str">
        <f t="shared" si="2"/>
        <v>WG 400</v>
      </c>
      <c r="P5" t="str">
        <f t="shared" si="2"/>
        <v>WG 500</v>
      </c>
    </row>
    <row r="6" spans="1:16">
      <c r="A6" s="10" t="s">
        <v>11</v>
      </c>
      <c r="B6" t="str">
        <f t="shared" ref="B6:P6" si="3">B46</f>
        <v>No Battery</v>
      </c>
      <c r="C6" t="str">
        <f t="shared" si="3"/>
        <v>No Battery</v>
      </c>
      <c r="D6" t="str">
        <f t="shared" si="3"/>
        <v>No Battery</v>
      </c>
      <c r="E6" t="str">
        <f t="shared" si="3"/>
        <v>Bat 100/100</v>
      </c>
      <c r="F6" t="str">
        <f t="shared" si="3"/>
        <v>No Battery</v>
      </c>
      <c r="G6" t="str">
        <f t="shared" si="3"/>
        <v>No Battery</v>
      </c>
      <c r="H6" t="str">
        <f t="shared" si="3"/>
        <v>Bat 100/100</v>
      </c>
      <c r="I6" t="str">
        <f t="shared" si="3"/>
        <v>No Battery</v>
      </c>
      <c r="J6" t="str">
        <f t="shared" si="3"/>
        <v>Bat 100/100</v>
      </c>
      <c r="K6" t="str">
        <f t="shared" si="3"/>
        <v>No Battery</v>
      </c>
      <c r="L6" t="str">
        <f t="shared" si="3"/>
        <v>No Battery</v>
      </c>
      <c r="M6" t="str">
        <f t="shared" si="3"/>
        <v>Bat 100/100</v>
      </c>
      <c r="N6" t="str">
        <f t="shared" si="3"/>
        <v>No Battery</v>
      </c>
      <c r="O6" t="str">
        <f t="shared" si="3"/>
        <v>No Battery</v>
      </c>
      <c r="P6" t="str">
        <f t="shared" si="3"/>
        <v>No Battery</v>
      </c>
    </row>
    <row r="7" spans="1:16">
      <c r="A7" s="10" t="s">
        <v>291</v>
      </c>
      <c r="B7" t="str">
        <f t="shared" ref="B7:P7" si="4">IF(B53&lt;0.3,$B$346,$B$345)</f>
        <v>No Generator</v>
      </c>
      <c r="C7" t="str">
        <f t="shared" si="4"/>
        <v>No Generator</v>
      </c>
      <c r="D7" t="str">
        <f t="shared" si="4"/>
        <v>No Generator</v>
      </c>
      <c r="E7" t="str">
        <f t="shared" si="4"/>
        <v>No Generator</v>
      </c>
      <c r="F7" t="str">
        <f t="shared" si="4"/>
        <v>No Generator</v>
      </c>
      <c r="G7" t="str">
        <f t="shared" si="4"/>
        <v>No Generator</v>
      </c>
      <c r="H7" t="str">
        <f t="shared" si="4"/>
        <v>No Generator</v>
      </c>
      <c r="I7" t="str">
        <f t="shared" si="4"/>
        <v>No Generator</v>
      </c>
      <c r="J7" t="str">
        <f t="shared" si="4"/>
        <v>No Generator</v>
      </c>
      <c r="K7" t="str">
        <f t="shared" si="4"/>
        <v>100kW  Diesel</v>
      </c>
      <c r="L7" t="str">
        <f t="shared" si="4"/>
        <v>100kW  Diesel</v>
      </c>
      <c r="M7" t="str">
        <f t="shared" si="4"/>
        <v>100kW  Diesel</v>
      </c>
      <c r="N7" t="str">
        <f t="shared" si="4"/>
        <v>100kW  Diesel</v>
      </c>
      <c r="O7" t="str">
        <f t="shared" si="4"/>
        <v>100kW  Diesel</v>
      </c>
      <c r="P7" t="str">
        <f t="shared" si="4"/>
        <v>100kW  Diesel</v>
      </c>
    </row>
    <row r="8" spans="1:16">
      <c r="A8" s="10" t="s">
        <v>288</v>
      </c>
      <c r="B8" s="48">
        <f>$C$220</f>
        <v>-518433.40132487641</v>
      </c>
      <c r="C8" s="48">
        <f t="shared" ref="C8:P8" si="5">$C$220</f>
        <v>-518433.40132487641</v>
      </c>
      <c r="D8" s="48">
        <f t="shared" si="5"/>
        <v>-518433.40132487641</v>
      </c>
      <c r="E8" s="48">
        <f t="shared" si="5"/>
        <v>-518433.40132487641</v>
      </c>
      <c r="F8" s="48">
        <f t="shared" si="5"/>
        <v>-518433.40132487641</v>
      </c>
      <c r="G8" s="48">
        <f t="shared" si="5"/>
        <v>-518433.40132487641</v>
      </c>
      <c r="H8" s="48">
        <f t="shared" si="5"/>
        <v>-518433.40132487641</v>
      </c>
      <c r="I8" s="48">
        <f t="shared" si="5"/>
        <v>-518433.40132487641</v>
      </c>
      <c r="J8" s="48">
        <f t="shared" si="5"/>
        <v>-518433.40132487641</v>
      </c>
      <c r="K8" s="48">
        <f t="shared" si="5"/>
        <v>-518433.40132487641</v>
      </c>
      <c r="L8" s="48">
        <f t="shared" si="5"/>
        <v>-518433.40132487641</v>
      </c>
      <c r="M8" s="48">
        <f t="shared" si="5"/>
        <v>-518433.40132487641</v>
      </c>
      <c r="N8" s="48">
        <f t="shared" si="5"/>
        <v>-518433.40132487641</v>
      </c>
      <c r="O8" s="48">
        <f t="shared" si="5"/>
        <v>-518433.40132487641</v>
      </c>
      <c r="P8" s="48">
        <f t="shared" si="5"/>
        <v>-518433.40132487641</v>
      </c>
    </row>
    <row r="9" spans="1:16">
      <c r="A9" s="10" t="s">
        <v>287</v>
      </c>
      <c r="B9" s="48">
        <f t="shared" ref="B9:P9" si="6">B223</f>
        <v>0</v>
      </c>
      <c r="C9" s="48">
        <f t="shared" si="6"/>
        <v>-1050000</v>
      </c>
      <c r="D9" s="48">
        <f>D223</f>
        <v>-1550000</v>
      </c>
      <c r="E9" s="48">
        <f t="shared" si="6"/>
        <v>-1670000</v>
      </c>
      <c r="F9" s="48">
        <f t="shared" si="6"/>
        <v>-2500000</v>
      </c>
      <c r="G9" s="48">
        <f t="shared" si="6"/>
        <v>-2550000</v>
      </c>
      <c r="H9" s="48">
        <f t="shared" si="6"/>
        <v>-2670000</v>
      </c>
      <c r="I9" s="48">
        <f t="shared" si="6"/>
        <v>-3500000</v>
      </c>
      <c r="J9" s="48">
        <f t="shared" si="6"/>
        <v>-3620000</v>
      </c>
      <c r="K9" s="48">
        <f t="shared" si="6"/>
        <v>-4200000</v>
      </c>
      <c r="L9" s="48">
        <f t="shared" si="6"/>
        <v>-4800000</v>
      </c>
      <c r="M9" s="48">
        <f t="shared" si="6"/>
        <v>-4920000</v>
      </c>
      <c r="N9" s="48">
        <f t="shared" si="6"/>
        <v>-5300000</v>
      </c>
      <c r="O9" s="48">
        <f t="shared" si="6"/>
        <v>-5600000</v>
      </c>
      <c r="P9" s="48">
        <f t="shared" si="6"/>
        <v>-6300000</v>
      </c>
    </row>
    <row r="10" spans="1:16">
      <c r="A10" s="10" t="s">
        <v>292</v>
      </c>
      <c r="B10" s="48">
        <f t="shared" ref="B10:P10" si="7">B225</f>
        <v>0</v>
      </c>
      <c r="C10" s="48">
        <f t="shared" si="7"/>
        <v>-10120.709999999963</v>
      </c>
      <c r="D10" s="48">
        <f t="shared" si="7"/>
        <v>-11406.300000000047</v>
      </c>
      <c r="E10" s="48">
        <f t="shared" si="7"/>
        <v>-11406.300000000047</v>
      </c>
      <c r="F10" s="48">
        <f t="shared" si="7"/>
        <v>-12622.450000000186</v>
      </c>
      <c r="G10" s="48">
        <f t="shared" si="7"/>
        <v>-16998.339999999851</v>
      </c>
      <c r="H10" s="48">
        <f t="shared" si="7"/>
        <v>-16998.339999999851</v>
      </c>
      <c r="I10" s="48">
        <f t="shared" si="7"/>
        <v>-19171.259999999776</v>
      </c>
      <c r="J10" s="48">
        <f t="shared" si="7"/>
        <v>-19156.470000000205</v>
      </c>
      <c r="K10" s="48">
        <f t="shared" si="7"/>
        <v>-22066.259999999776</v>
      </c>
      <c r="L10" s="48">
        <f t="shared" si="7"/>
        <v>-31875.589999999851</v>
      </c>
      <c r="M10" s="48">
        <f t="shared" si="7"/>
        <v>-31888.049999999814</v>
      </c>
      <c r="N10" s="48">
        <f t="shared" si="7"/>
        <v>-36018.139999999665</v>
      </c>
      <c r="O10" s="48">
        <f t="shared" si="7"/>
        <v>-34080.019999999553</v>
      </c>
      <c r="P10" s="48">
        <f t="shared" si="7"/>
        <v>-44837.120000000112</v>
      </c>
    </row>
    <row r="11" spans="1:16">
      <c r="A11" s="10" t="s">
        <v>294</v>
      </c>
      <c r="B11" s="48">
        <f t="shared" ref="B11:P11" si="8">B234</f>
        <v>0</v>
      </c>
      <c r="C11" s="48">
        <f t="shared" si="8"/>
        <v>0</v>
      </c>
      <c r="D11" s="48">
        <f t="shared" si="8"/>
        <v>0</v>
      </c>
      <c r="E11" s="48">
        <f t="shared" si="8"/>
        <v>0</v>
      </c>
      <c r="F11" s="48">
        <f t="shared" si="8"/>
        <v>0</v>
      </c>
      <c r="G11" s="48">
        <f t="shared" si="8"/>
        <v>0</v>
      </c>
      <c r="H11" s="48">
        <f t="shared" si="8"/>
        <v>0</v>
      </c>
      <c r="I11" s="48">
        <f t="shared" si="8"/>
        <v>0</v>
      </c>
      <c r="J11" s="48">
        <f t="shared" si="8"/>
        <v>0</v>
      </c>
      <c r="K11" s="48">
        <f t="shared" si="8"/>
        <v>-41158.26</v>
      </c>
      <c r="L11" s="48">
        <f t="shared" si="8"/>
        <v>-41158.26</v>
      </c>
      <c r="M11" s="48">
        <f t="shared" si="8"/>
        <v>-41158.26</v>
      </c>
      <c r="N11" s="48">
        <f t="shared" si="8"/>
        <v>-41158.26</v>
      </c>
      <c r="O11" s="48">
        <f t="shared" si="8"/>
        <v>-41158.26</v>
      </c>
      <c r="P11" s="48">
        <f t="shared" si="8"/>
        <v>-41158.26</v>
      </c>
    </row>
    <row r="12" spans="1:16">
      <c r="A12" s="10" t="s">
        <v>230</v>
      </c>
      <c r="B12" s="9">
        <f t="shared" ref="B12:P12" si="9">B331</f>
        <v>0.12102113157738981</v>
      </c>
      <c r="C12" s="9">
        <f t="shared" si="9"/>
        <v>0.17969965041783353</v>
      </c>
      <c r="D12" s="9">
        <f t="shared" si="9"/>
        <v>0.20680530143989739</v>
      </c>
      <c r="E12" s="9">
        <f t="shared" si="9"/>
        <v>0.20727683024229959</v>
      </c>
      <c r="F12" s="9">
        <f t="shared" si="9"/>
        <v>0.29383246077935499</v>
      </c>
      <c r="G12" s="9">
        <f t="shared" si="9"/>
        <v>0.25115620211553313</v>
      </c>
      <c r="H12" s="9">
        <f t="shared" si="9"/>
        <v>0.25162945064914988</v>
      </c>
      <c r="I12" s="9">
        <f t="shared" si="9"/>
        <v>0.33443617462158592</v>
      </c>
      <c r="J12" s="9">
        <f t="shared" si="9"/>
        <v>0.33273691895676316</v>
      </c>
      <c r="K12" s="9">
        <f t="shared" si="9"/>
        <v>0.40964969412397345</v>
      </c>
      <c r="L12" s="9">
        <f t="shared" si="9"/>
        <v>0.58241760011277011</v>
      </c>
      <c r="M12" s="9">
        <f t="shared" si="9"/>
        <v>0.58098715993342909</v>
      </c>
      <c r="N12" s="9">
        <f t="shared" si="9"/>
        <v>0.60292711457804815</v>
      </c>
      <c r="O12" s="9">
        <f t="shared" si="9"/>
        <v>0.5682340094371845</v>
      </c>
      <c r="P12" s="9">
        <f t="shared" si="9"/>
        <v>0.62979979576213463</v>
      </c>
    </row>
    <row r="13" spans="1:16">
      <c r="A13" s="10" t="s">
        <v>237</v>
      </c>
      <c r="B13" s="11">
        <f t="shared" ref="B13:P13" si="10">B334</f>
        <v>322318.1437124433</v>
      </c>
      <c r="C13" s="11">
        <f t="shared" si="10"/>
        <v>-164377.12977362517</v>
      </c>
      <c r="D13" s="11">
        <f t="shared" si="10"/>
        <v>-452984.86264941003</v>
      </c>
      <c r="E13" s="11">
        <f t="shared" si="10"/>
        <v>-541591.70602878463</v>
      </c>
      <c r="F13" s="11">
        <f t="shared" si="10"/>
        <v>720645.12908954453</v>
      </c>
      <c r="G13" s="11">
        <f t="shared" si="10"/>
        <v>-1506307.4979630215</v>
      </c>
      <c r="H13" s="11">
        <f t="shared" si="10"/>
        <v>-1648045.0085794022</v>
      </c>
      <c r="I13" s="11">
        <f t="shared" si="10"/>
        <v>-458558.91315607633</v>
      </c>
      <c r="J13" s="11">
        <f t="shared" si="10"/>
        <v>-637142.24447110575</v>
      </c>
      <c r="K13" s="11">
        <f t="shared" si="10"/>
        <v>268383.34286342282</v>
      </c>
      <c r="L13" s="11">
        <f t="shared" si="10"/>
        <v>4091239.8087606104</v>
      </c>
      <c r="M13" s="11">
        <f t="shared" si="10"/>
        <v>3930330.4385885103</v>
      </c>
      <c r="N13" s="11">
        <f t="shared" si="10"/>
        <v>3462674.7781793857</v>
      </c>
      <c r="O13" s="11">
        <f t="shared" si="10"/>
        <v>1742434.1296657464</v>
      </c>
      <c r="P13" s="11">
        <f t="shared" si="10"/>
        <v>1841574.3455954948</v>
      </c>
    </row>
    <row r="14" spans="1:16">
      <c r="A14" s="10" t="s">
        <v>238</v>
      </c>
      <c r="B14" s="11">
        <f t="shared" ref="B14:P14" si="11">B335</f>
        <v>1477344.0172345899</v>
      </c>
      <c r="C14" s="11">
        <f t="shared" si="11"/>
        <v>1348719.8475155607</v>
      </c>
      <c r="D14" s="11">
        <f t="shared" si="11"/>
        <v>1353448.9965159353</v>
      </c>
      <c r="E14" s="11">
        <f t="shared" si="11"/>
        <v>1353465.6710398961</v>
      </c>
      <c r="F14" s="11">
        <f t="shared" si="11"/>
        <v>1225557.6790183783</v>
      </c>
      <c r="G14" s="11">
        <f t="shared" si="11"/>
        <v>1569130.2715589572</v>
      </c>
      <c r="H14" s="11">
        <f t="shared" si="11"/>
        <v>1569185.0592805455</v>
      </c>
      <c r="I14" s="11">
        <f t="shared" si="11"/>
        <v>1503304.7384110531</v>
      </c>
      <c r="J14" s="11">
        <f t="shared" si="11"/>
        <v>1507394.0674447687</v>
      </c>
      <c r="K14" s="11">
        <f t="shared" si="11"/>
        <v>1477089.225613568</v>
      </c>
      <c r="L14" s="11">
        <f t="shared" si="11"/>
        <v>1581892.2360624559</v>
      </c>
      <c r="M14" s="11">
        <f t="shared" si="11"/>
        <v>1591911.8843001081</v>
      </c>
      <c r="N14" s="11">
        <f t="shared" si="11"/>
        <v>1771450.4846978309</v>
      </c>
      <c r="O14" s="11">
        <f t="shared" si="11"/>
        <v>1755720.75552327</v>
      </c>
      <c r="P14" s="11">
        <f t="shared" si="11"/>
        <v>2222556.5618639663</v>
      </c>
    </row>
    <row r="15" spans="1:16">
      <c r="A15" s="10" t="s">
        <v>239</v>
      </c>
      <c r="B15" s="11">
        <f t="shared" ref="B15:P15" si="12">B336</f>
        <v>1799662.1609470332</v>
      </c>
      <c r="C15" s="11">
        <f t="shared" si="12"/>
        <v>1184342.7177419355</v>
      </c>
      <c r="D15" s="11">
        <f t="shared" si="12"/>
        <v>900464.13386652526</v>
      </c>
      <c r="E15" s="11">
        <f t="shared" si="12"/>
        <v>811873.96501111146</v>
      </c>
      <c r="F15" s="11">
        <f t="shared" si="12"/>
        <v>1946202.8081079228</v>
      </c>
      <c r="G15" s="11">
        <f t="shared" si="12"/>
        <v>62822.773595935665</v>
      </c>
      <c r="H15" s="11">
        <f t="shared" si="12"/>
        <v>-78859.94929885678</v>
      </c>
      <c r="I15" s="11">
        <f t="shared" si="12"/>
        <v>1044745.8252549767</v>
      </c>
      <c r="J15" s="11">
        <f t="shared" si="12"/>
        <v>870251.82297366299</v>
      </c>
      <c r="K15" s="11">
        <f t="shared" si="12"/>
        <v>1745472.5684769908</v>
      </c>
      <c r="L15" s="11">
        <f t="shared" si="12"/>
        <v>5673132.0448230663</v>
      </c>
      <c r="M15" s="11">
        <f t="shared" si="12"/>
        <v>5522242.3228886183</v>
      </c>
      <c r="N15" s="11">
        <f t="shared" si="12"/>
        <v>5234125.2628772166</v>
      </c>
      <c r="O15" s="11">
        <f t="shared" si="12"/>
        <v>3498154.8851890163</v>
      </c>
      <c r="P15" s="11">
        <f t="shared" si="12"/>
        <v>4064130.9074594611</v>
      </c>
    </row>
    <row r="16" spans="1:16">
      <c r="A16" s="10" t="s">
        <v>159</v>
      </c>
      <c r="B16" s="9">
        <f t="shared" ref="B16:P16" si="13">B337</f>
        <v>4.4713468621966239</v>
      </c>
      <c r="C16" s="9">
        <f t="shared" si="13"/>
        <v>1.7502705857500951</v>
      </c>
      <c r="D16" s="9">
        <f t="shared" si="13"/>
        <v>1.4329488148980527</v>
      </c>
      <c r="E16" s="9">
        <f t="shared" si="13"/>
        <v>1.3690605113282355</v>
      </c>
      <c r="F16" s="9">
        <f t="shared" si="13"/>
        <v>1.6420874122980069</v>
      </c>
      <c r="G16" s="9">
        <f t="shared" si="13"/>
        <v>1.0203610965540142</v>
      </c>
      <c r="H16" s="9">
        <f t="shared" si="13"/>
        <v>0.9753980257067455</v>
      </c>
      <c r="I16" s="9">
        <f t="shared" si="13"/>
        <v>1.2587538684166666</v>
      </c>
      <c r="J16" s="9">
        <f t="shared" si="13"/>
        <v>1.2093164188646497</v>
      </c>
      <c r="K16" s="9">
        <f t="shared" si="13"/>
        <v>1.3682043440942184</v>
      </c>
      <c r="L16" s="9">
        <f t="shared" si="13"/>
        <v>2.0603372728606186</v>
      </c>
      <c r="M16" s="9">
        <f t="shared" si="13"/>
        <v>2.0094913748717946</v>
      </c>
      <c r="N16" s="9">
        <f t="shared" si="13"/>
        <v>1.8940419484098632</v>
      </c>
      <c r="O16" s="9">
        <f t="shared" si="13"/>
        <v>1.5685733042148695</v>
      </c>
      <c r="P16" s="9">
        <f t="shared" si="13"/>
        <v>1.5921565957267447</v>
      </c>
    </row>
    <row r="18" spans="1:16">
      <c r="A18" s="52" t="s">
        <v>310</v>
      </c>
      <c r="B18" s="11">
        <f>-SUM(B8:B11)</f>
        <v>518433.40132487641</v>
      </c>
      <c r="C18" s="11">
        <f t="shared" ref="C18:P18" si="14">-SUM(C8:C11)</f>
        <v>1578554.1113248763</v>
      </c>
      <c r="D18" s="11">
        <f t="shared" si="14"/>
        <v>2079839.7013248764</v>
      </c>
      <c r="E18" s="11">
        <f t="shared" si="14"/>
        <v>2199839.7013248764</v>
      </c>
      <c r="F18" s="11">
        <f t="shared" si="14"/>
        <v>3031055.8513248768</v>
      </c>
      <c r="G18" s="11">
        <f t="shared" si="14"/>
        <v>3085431.7413248764</v>
      </c>
      <c r="H18" s="11">
        <f t="shared" si="14"/>
        <v>3205431.7413248764</v>
      </c>
      <c r="I18" s="11">
        <f t="shared" si="14"/>
        <v>4037604.6613248764</v>
      </c>
      <c r="J18" s="11">
        <f t="shared" si="14"/>
        <v>4157589.8713248768</v>
      </c>
      <c r="K18" s="11">
        <f t="shared" si="14"/>
        <v>4781657.9213248761</v>
      </c>
      <c r="L18" s="11">
        <f t="shared" si="14"/>
        <v>5391467.2513248762</v>
      </c>
      <c r="M18" s="11">
        <f t="shared" si="14"/>
        <v>5511479.7113248762</v>
      </c>
      <c r="N18" s="11">
        <f t="shared" si="14"/>
        <v>5895609.801324876</v>
      </c>
      <c r="O18" s="11">
        <f t="shared" si="14"/>
        <v>6193671.6813248759</v>
      </c>
      <c r="P18" s="11">
        <f t="shared" si="14"/>
        <v>6904428.7813248765</v>
      </c>
    </row>
    <row r="20" spans="1:16">
      <c r="A20" s="14" t="s">
        <v>295</v>
      </c>
    </row>
    <row r="21" spans="1:16">
      <c r="A21" t="s">
        <v>207</v>
      </c>
      <c r="B21">
        <v>1</v>
      </c>
      <c r="C21">
        <v>2</v>
      </c>
      <c r="D21">
        <v>3</v>
      </c>
      <c r="E21">
        <v>5</v>
      </c>
      <c r="F21">
        <v>6</v>
      </c>
      <c r="G21">
        <v>7</v>
      </c>
      <c r="H21">
        <v>8</v>
      </c>
      <c r="I21">
        <v>9</v>
      </c>
      <c r="J21">
        <v>11</v>
      </c>
      <c r="K21">
        <v>12</v>
      </c>
      <c r="L21">
        <v>13</v>
      </c>
      <c r="M21">
        <v>14</v>
      </c>
      <c r="N21">
        <v>15</v>
      </c>
      <c r="O21">
        <v>17</v>
      </c>
      <c r="P21">
        <v>18</v>
      </c>
    </row>
    <row r="22" spans="1:16">
      <c r="A22" t="s">
        <v>63</v>
      </c>
      <c r="B22">
        <v>219000</v>
      </c>
      <c r="C22">
        <v>219000</v>
      </c>
      <c r="D22">
        <v>219000</v>
      </c>
      <c r="E22">
        <v>219000</v>
      </c>
      <c r="F22">
        <v>219000</v>
      </c>
      <c r="G22">
        <v>219000</v>
      </c>
      <c r="H22">
        <v>219000</v>
      </c>
      <c r="I22">
        <v>219000</v>
      </c>
      <c r="J22">
        <v>219000</v>
      </c>
      <c r="K22">
        <v>219000</v>
      </c>
      <c r="L22">
        <v>219000</v>
      </c>
      <c r="M22">
        <v>219000</v>
      </c>
      <c r="N22">
        <v>219000</v>
      </c>
      <c r="O22">
        <v>219000</v>
      </c>
      <c r="P22">
        <v>219000</v>
      </c>
    </row>
    <row r="23" spans="1:16">
      <c r="A23" t="s">
        <v>104</v>
      </c>
    </row>
    <row r="24" spans="1:16">
      <c r="A24" t="s">
        <v>105</v>
      </c>
    </row>
    <row r="25" spans="1:16">
      <c r="A25" t="s">
        <v>106</v>
      </c>
    </row>
    <row r="26" spans="1:16">
      <c r="A26" t="s">
        <v>208</v>
      </c>
    </row>
    <row r="27" spans="1:16">
      <c r="A27" t="s">
        <v>51</v>
      </c>
      <c r="B27">
        <v>219000</v>
      </c>
      <c r="C27">
        <v>219000</v>
      </c>
      <c r="D27">
        <v>219000</v>
      </c>
      <c r="E27">
        <v>219000</v>
      </c>
      <c r="F27">
        <v>219000</v>
      </c>
      <c r="G27">
        <v>219000</v>
      </c>
      <c r="H27">
        <v>219000</v>
      </c>
      <c r="I27">
        <v>219000</v>
      </c>
      <c r="J27">
        <v>219000</v>
      </c>
      <c r="K27">
        <v>219000</v>
      </c>
      <c r="L27">
        <v>219000</v>
      </c>
      <c r="M27">
        <v>219000</v>
      </c>
      <c r="N27">
        <v>219000</v>
      </c>
      <c r="O27">
        <v>219000</v>
      </c>
      <c r="P27">
        <v>219000</v>
      </c>
    </row>
    <row r="28" spans="1:16">
      <c r="A28" t="s">
        <v>55</v>
      </c>
      <c r="B28">
        <v>219000</v>
      </c>
      <c r="C28">
        <v>219000</v>
      </c>
      <c r="D28">
        <v>219000</v>
      </c>
      <c r="E28">
        <v>219000</v>
      </c>
      <c r="F28">
        <v>219000</v>
      </c>
      <c r="G28">
        <v>219000</v>
      </c>
      <c r="H28">
        <v>219000</v>
      </c>
      <c r="I28">
        <v>219000</v>
      </c>
      <c r="J28">
        <v>219000</v>
      </c>
      <c r="K28">
        <v>219000</v>
      </c>
      <c r="L28">
        <v>219000</v>
      </c>
      <c r="M28">
        <v>219000</v>
      </c>
      <c r="N28">
        <v>219000</v>
      </c>
      <c r="O28">
        <v>219000</v>
      </c>
      <c r="P28">
        <v>219000</v>
      </c>
    </row>
    <row r="29" spans="1:16">
      <c r="A29" t="s">
        <v>53</v>
      </c>
      <c r="B29">
        <v>219000</v>
      </c>
      <c r="C29">
        <v>219000</v>
      </c>
      <c r="D29">
        <v>219000</v>
      </c>
      <c r="E29">
        <v>219000</v>
      </c>
      <c r="F29">
        <v>219000</v>
      </c>
      <c r="G29">
        <v>219000</v>
      </c>
      <c r="H29">
        <v>219000</v>
      </c>
      <c r="I29">
        <v>219000</v>
      </c>
      <c r="J29">
        <v>219000</v>
      </c>
      <c r="K29">
        <v>219000</v>
      </c>
      <c r="L29">
        <v>219000</v>
      </c>
      <c r="M29">
        <v>219000</v>
      </c>
      <c r="N29">
        <v>219000</v>
      </c>
      <c r="O29">
        <v>219000</v>
      </c>
      <c r="P29">
        <v>219000</v>
      </c>
    </row>
    <row r="30" spans="1:16">
      <c r="A30" t="s">
        <v>65</v>
      </c>
      <c r="B30">
        <v>219000</v>
      </c>
      <c r="C30">
        <v>219000</v>
      </c>
      <c r="D30">
        <v>219000</v>
      </c>
      <c r="E30">
        <v>219000</v>
      </c>
      <c r="F30">
        <v>219000</v>
      </c>
      <c r="G30">
        <v>219000</v>
      </c>
      <c r="H30">
        <v>219000</v>
      </c>
      <c r="I30">
        <v>219000</v>
      </c>
      <c r="J30">
        <v>219000</v>
      </c>
      <c r="K30">
        <v>219000</v>
      </c>
      <c r="L30">
        <v>219000</v>
      </c>
      <c r="M30">
        <v>219000</v>
      </c>
      <c r="N30">
        <v>219000</v>
      </c>
      <c r="O30">
        <v>219000</v>
      </c>
      <c r="P30">
        <v>219000</v>
      </c>
    </row>
    <row r="31" spans="1:16">
      <c r="A31" t="s">
        <v>66</v>
      </c>
    </row>
    <row r="32" spans="1:16">
      <c r="A32" t="s">
        <v>30</v>
      </c>
    </row>
    <row r="33" spans="1:16">
      <c r="A33" t="s">
        <v>67</v>
      </c>
      <c r="B33" s="9">
        <v>0.25101044</v>
      </c>
      <c r="C33" s="9">
        <v>0.23175819</v>
      </c>
      <c r="D33" s="9">
        <v>0.22200909999999999</v>
      </c>
      <c r="E33" s="9">
        <v>0.22201166999999999</v>
      </c>
      <c r="F33" s="9">
        <v>0.19240203</v>
      </c>
      <c r="G33" s="9">
        <v>0.20965057000000001</v>
      </c>
      <c r="H33" s="9">
        <v>0.20965905000000001</v>
      </c>
      <c r="I33" s="9">
        <v>0.18180445000000001</v>
      </c>
      <c r="J33" s="9">
        <v>0.18255474999999999</v>
      </c>
      <c r="K33" s="9">
        <v>0.15417348</v>
      </c>
      <c r="L33" s="9">
        <v>9.0369119999999997E-2</v>
      </c>
      <c r="M33" s="9">
        <v>9.1810589999999997E-2</v>
      </c>
      <c r="N33" s="9">
        <v>8.5800710000000002E-2</v>
      </c>
      <c r="O33" s="9">
        <v>9.9173629999999999E-2</v>
      </c>
      <c r="P33" s="9">
        <v>8.339945E-2</v>
      </c>
    </row>
    <row r="34" spans="1:16">
      <c r="A34" t="s">
        <v>68</v>
      </c>
      <c r="B34" s="7">
        <v>1</v>
      </c>
      <c r="C34" s="7">
        <v>1</v>
      </c>
      <c r="D34" s="7">
        <v>1</v>
      </c>
      <c r="E34" s="7">
        <v>1</v>
      </c>
      <c r="F34" s="7">
        <v>1</v>
      </c>
      <c r="G34" s="7">
        <v>1</v>
      </c>
      <c r="H34" s="7">
        <v>1</v>
      </c>
      <c r="I34" s="7">
        <v>1</v>
      </c>
      <c r="J34" s="7">
        <v>1</v>
      </c>
      <c r="K34" s="7">
        <v>1</v>
      </c>
      <c r="L34" s="7">
        <v>1</v>
      </c>
      <c r="M34" s="7">
        <v>1</v>
      </c>
      <c r="N34" s="7">
        <v>1</v>
      </c>
      <c r="O34" s="7">
        <v>1</v>
      </c>
      <c r="P34" s="7">
        <v>1</v>
      </c>
    </row>
    <row r="35" spans="1:16">
      <c r="A35" t="s">
        <v>209</v>
      </c>
      <c r="B35" s="5">
        <v>13239997</v>
      </c>
      <c r="C35" s="5">
        <v>12224503</v>
      </c>
      <c r="D35" s="5">
        <v>11710269</v>
      </c>
      <c r="E35" s="5">
        <v>11710405</v>
      </c>
      <c r="F35" s="5">
        <v>10148591</v>
      </c>
      <c r="G35" s="5">
        <v>11058396</v>
      </c>
      <c r="H35" s="5">
        <v>11058844</v>
      </c>
      <c r="I35" s="5">
        <v>9589602</v>
      </c>
      <c r="J35" s="5">
        <v>9629178</v>
      </c>
      <c r="K35" s="5">
        <v>8132157</v>
      </c>
      <c r="L35" s="5">
        <v>4766681</v>
      </c>
      <c r="M35" s="5">
        <v>4842714</v>
      </c>
      <c r="N35" s="5">
        <v>4525712</v>
      </c>
      <c r="O35" s="5">
        <v>5231091</v>
      </c>
      <c r="P35" s="5">
        <v>4399053</v>
      </c>
    </row>
    <row r="36" spans="1:16">
      <c r="A36" t="s">
        <v>71</v>
      </c>
      <c r="B36" s="5">
        <v>39506802</v>
      </c>
      <c r="C36" s="5">
        <v>40522296</v>
      </c>
      <c r="D36" s="5">
        <v>41036530</v>
      </c>
      <c r="E36" s="5">
        <v>41036394</v>
      </c>
      <c r="F36" s="5">
        <v>42598208</v>
      </c>
      <c r="G36" s="5">
        <v>41688403</v>
      </c>
      <c r="H36" s="5">
        <v>41687955</v>
      </c>
      <c r="I36" s="5">
        <v>43157197</v>
      </c>
      <c r="J36" s="5">
        <v>43117621</v>
      </c>
      <c r="K36" s="5">
        <v>44614642</v>
      </c>
      <c r="L36" s="5">
        <v>47980118</v>
      </c>
      <c r="M36" s="5">
        <v>47904085</v>
      </c>
      <c r="N36" s="5">
        <v>48221087</v>
      </c>
      <c r="O36" s="5">
        <v>47515708</v>
      </c>
      <c r="P36" s="5">
        <v>48347746</v>
      </c>
    </row>
    <row r="37" spans="1:16">
      <c r="A37" t="s">
        <v>72</v>
      </c>
    </row>
    <row r="38" spans="1:16">
      <c r="A38" t="s">
        <v>73</v>
      </c>
      <c r="B38" s="9"/>
      <c r="C38" s="9"/>
      <c r="D38" s="9"/>
      <c r="E38" s="9"/>
      <c r="F38" s="9"/>
      <c r="G38" s="9"/>
      <c r="H38" s="9"/>
      <c r="I38" s="9"/>
      <c r="J38" s="9"/>
      <c r="K38" s="9"/>
      <c r="L38" s="9"/>
      <c r="M38" s="9"/>
      <c r="N38" s="9"/>
      <c r="O38" s="9"/>
      <c r="P38" s="9"/>
    </row>
    <row r="39" spans="1:16">
      <c r="A39" t="s">
        <v>74</v>
      </c>
      <c r="B39" s="7"/>
      <c r="C39" s="7"/>
      <c r="D39" s="7"/>
      <c r="E39" s="7"/>
      <c r="F39" s="7"/>
      <c r="G39" s="7"/>
      <c r="H39" s="7"/>
      <c r="I39" s="7"/>
      <c r="J39" s="7"/>
      <c r="K39" s="7"/>
      <c r="L39" s="7"/>
      <c r="M39" s="7"/>
      <c r="N39" s="7"/>
      <c r="O39" s="7"/>
      <c r="P39" s="7"/>
    </row>
    <row r="40" spans="1:16">
      <c r="A40" t="s">
        <v>210</v>
      </c>
      <c r="B40">
        <v>13239997</v>
      </c>
      <c r="C40">
        <v>12224503</v>
      </c>
      <c r="D40">
        <v>11710269</v>
      </c>
      <c r="E40">
        <v>11710405</v>
      </c>
      <c r="F40">
        <v>10148591</v>
      </c>
      <c r="G40">
        <v>11058396</v>
      </c>
      <c r="H40">
        <v>11058844</v>
      </c>
      <c r="I40">
        <v>9589602</v>
      </c>
      <c r="J40">
        <v>9629178</v>
      </c>
      <c r="K40">
        <v>8132157</v>
      </c>
      <c r="L40">
        <v>4766681</v>
      </c>
      <c r="M40">
        <v>4842714</v>
      </c>
      <c r="N40">
        <v>4525712</v>
      </c>
      <c r="O40">
        <v>5231091</v>
      </c>
      <c r="P40">
        <v>4399053</v>
      </c>
    </row>
    <row r="41" spans="1:16">
      <c r="A41" t="s">
        <v>76</v>
      </c>
      <c r="B41">
        <v>39506802</v>
      </c>
      <c r="C41">
        <v>40522296</v>
      </c>
      <c r="D41">
        <v>41036530</v>
      </c>
      <c r="E41">
        <v>41036394</v>
      </c>
      <c r="F41">
        <v>42598208</v>
      </c>
      <c r="G41">
        <v>41688403</v>
      </c>
      <c r="H41">
        <v>41687955</v>
      </c>
      <c r="I41">
        <v>43157197</v>
      </c>
      <c r="J41">
        <v>43117621</v>
      </c>
      <c r="K41">
        <v>44614642</v>
      </c>
      <c r="L41">
        <v>47980118</v>
      </c>
      <c r="M41">
        <v>47904085</v>
      </c>
      <c r="N41">
        <v>48221087</v>
      </c>
      <c r="O41">
        <v>47515708</v>
      </c>
      <c r="P41">
        <v>48347746</v>
      </c>
    </row>
    <row r="42" spans="1:16">
      <c r="A42" t="s">
        <v>77</v>
      </c>
    </row>
    <row r="43" spans="1:16">
      <c r="A43" t="s">
        <v>7</v>
      </c>
      <c r="B43" t="s">
        <v>8</v>
      </c>
      <c r="C43" t="s">
        <v>15</v>
      </c>
      <c r="D43" t="s">
        <v>17</v>
      </c>
      <c r="E43" t="s">
        <v>17</v>
      </c>
      <c r="F43" t="s">
        <v>17</v>
      </c>
      <c r="G43" t="s">
        <v>18</v>
      </c>
      <c r="H43" t="s">
        <v>18</v>
      </c>
      <c r="I43" t="s">
        <v>18</v>
      </c>
      <c r="J43" t="s">
        <v>18</v>
      </c>
      <c r="K43" t="s">
        <v>18</v>
      </c>
      <c r="L43" t="s">
        <v>15</v>
      </c>
      <c r="M43" t="s">
        <v>15</v>
      </c>
      <c r="N43" t="s">
        <v>17</v>
      </c>
      <c r="O43" t="s">
        <v>18</v>
      </c>
      <c r="P43" t="s">
        <v>18</v>
      </c>
    </row>
    <row r="44" spans="1:16">
      <c r="A44" t="s">
        <v>9</v>
      </c>
      <c r="B44" t="s">
        <v>8</v>
      </c>
      <c r="C44" t="s">
        <v>8</v>
      </c>
      <c r="D44" t="s">
        <v>8</v>
      </c>
      <c r="E44" t="s">
        <v>8</v>
      </c>
      <c r="F44" t="s">
        <v>8</v>
      </c>
      <c r="G44" t="s">
        <v>8</v>
      </c>
      <c r="H44" t="s">
        <v>8</v>
      </c>
      <c r="I44" t="s">
        <v>8</v>
      </c>
      <c r="J44" t="s">
        <v>8</v>
      </c>
      <c r="K44" t="s">
        <v>8</v>
      </c>
      <c r="L44" t="s">
        <v>8</v>
      </c>
      <c r="M44" t="s">
        <v>8</v>
      </c>
      <c r="N44" t="s">
        <v>8</v>
      </c>
      <c r="O44" t="s">
        <v>8</v>
      </c>
      <c r="P44" t="s">
        <v>8</v>
      </c>
    </row>
    <row r="45" spans="1:16">
      <c r="A45" t="s">
        <v>10</v>
      </c>
      <c r="B45" t="s">
        <v>8</v>
      </c>
      <c r="C45" t="s">
        <v>8</v>
      </c>
      <c r="D45" t="s">
        <v>8</v>
      </c>
      <c r="E45" t="s">
        <v>8</v>
      </c>
      <c r="F45" t="s">
        <v>20</v>
      </c>
      <c r="G45" t="s">
        <v>8</v>
      </c>
      <c r="H45" t="s">
        <v>8</v>
      </c>
      <c r="I45" t="s">
        <v>20</v>
      </c>
      <c r="J45" t="s">
        <v>20</v>
      </c>
      <c r="K45" t="s">
        <v>199</v>
      </c>
      <c r="L45" t="s">
        <v>21</v>
      </c>
      <c r="M45" t="s">
        <v>21</v>
      </c>
      <c r="N45" t="s">
        <v>21</v>
      </c>
      <c r="O45" t="s">
        <v>24</v>
      </c>
      <c r="P45" t="s">
        <v>21</v>
      </c>
    </row>
    <row r="46" spans="1:16">
      <c r="A46" t="s">
        <v>11</v>
      </c>
      <c r="B46" t="s">
        <v>12</v>
      </c>
      <c r="C46" t="s">
        <v>12</v>
      </c>
      <c r="D46" t="s">
        <v>12</v>
      </c>
      <c r="E46" t="s">
        <v>14</v>
      </c>
      <c r="F46" t="s">
        <v>12</v>
      </c>
      <c r="G46" t="s">
        <v>12</v>
      </c>
      <c r="H46" t="s">
        <v>14</v>
      </c>
      <c r="I46" t="s">
        <v>12</v>
      </c>
      <c r="J46" t="s">
        <v>14</v>
      </c>
      <c r="K46" t="s">
        <v>12</v>
      </c>
      <c r="L46" t="s">
        <v>12</v>
      </c>
      <c r="M46" t="s">
        <v>14</v>
      </c>
      <c r="N46" t="s">
        <v>12</v>
      </c>
      <c r="O46" t="s">
        <v>12</v>
      </c>
      <c r="P46" t="s">
        <v>12</v>
      </c>
    </row>
    <row r="47" spans="1:16">
      <c r="A47" t="s">
        <v>78</v>
      </c>
    </row>
    <row r="48" spans="1:16">
      <c r="A48" t="s">
        <v>79</v>
      </c>
      <c r="B48" s="8">
        <v>0</v>
      </c>
      <c r="C48" s="8">
        <v>1060120.71</v>
      </c>
      <c r="D48" s="8">
        <v>1561406.3</v>
      </c>
      <c r="E48" s="8">
        <v>1681406.3</v>
      </c>
      <c r="F48" s="8">
        <v>2512622.4500000002</v>
      </c>
      <c r="G48" s="8">
        <v>2566998.34</v>
      </c>
      <c r="H48" s="8">
        <v>2686998.34</v>
      </c>
      <c r="I48" s="8">
        <v>3519171.26</v>
      </c>
      <c r="J48" s="8">
        <v>3639156.47</v>
      </c>
      <c r="K48" s="8">
        <v>4222066.26</v>
      </c>
      <c r="L48" s="8">
        <v>4831875.59</v>
      </c>
      <c r="M48" s="8">
        <v>4951888.05</v>
      </c>
      <c r="N48" s="8">
        <v>5336018.1399999997</v>
      </c>
      <c r="O48" s="8">
        <v>5634080.0199999996</v>
      </c>
      <c r="P48" s="8">
        <v>6344837.1200000001</v>
      </c>
    </row>
    <row r="49" spans="1:16">
      <c r="A49" t="s">
        <v>80</v>
      </c>
      <c r="B49" s="9">
        <v>0.99999925999999995</v>
      </c>
      <c r="C49" s="9">
        <v>0.99999923000000002</v>
      </c>
      <c r="D49" s="9">
        <v>0.99999921999999997</v>
      </c>
      <c r="E49" s="9">
        <v>0.99999948000000005</v>
      </c>
      <c r="F49" s="9">
        <v>0.99999908000000004</v>
      </c>
      <c r="G49" s="9">
        <v>0.99999954000000002</v>
      </c>
      <c r="H49" s="9">
        <v>0.99999939999999998</v>
      </c>
      <c r="I49" s="9">
        <v>0.99999917999999999</v>
      </c>
      <c r="J49" s="9">
        <v>0.99999969</v>
      </c>
      <c r="K49" s="9">
        <v>0.99999906999999999</v>
      </c>
      <c r="L49" s="9">
        <v>0.99999959000000005</v>
      </c>
      <c r="M49" s="9">
        <v>0.99999992999999998</v>
      </c>
      <c r="N49" s="9">
        <v>0.99999936</v>
      </c>
      <c r="O49" s="9">
        <v>0.99999950000000004</v>
      </c>
      <c r="P49" s="9">
        <v>0.99999959999999999</v>
      </c>
    </row>
    <row r="50" spans="1:16">
      <c r="A50" t="s">
        <v>152</v>
      </c>
      <c r="B50">
        <v>14.1</v>
      </c>
      <c r="C50">
        <v>12.74</v>
      </c>
      <c r="D50">
        <v>12.17</v>
      </c>
      <c r="E50">
        <v>12.16</v>
      </c>
      <c r="F50">
        <v>10.199999999999999</v>
      </c>
      <c r="G50">
        <v>11.44</v>
      </c>
      <c r="H50">
        <v>11.43</v>
      </c>
      <c r="I50">
        <v>9.61</v>
      </c>
      <c r="J50">
        <v>9.65</v>
      </c>
      <c r="K50">
        <v>7.99</v>
      </c>
      <c r="L50">
        <v>4.43</v>
      </c>
      <c r="M50">
        <v>4.47</v>
      </c>
      <c r="N50">
        <v>4.18</v>
      </c>
      <c r="O50">
        <v>4.9000000000000004</v>
      </c>
      <c r="P50">
        <v>4.05</v>
      </c>
    </row>
    <row r="51" spans="1:16">
      <c r="A51" t="s">
        <v>153</v>
      </c>
      <c r="B51">
        <v>13684.74</v>
      </c>
      <c r="C51">
        <v>12689.78</v>
      </c>
      <c r="D51">
        <v>12740.28</v>
      </c>
      <c r="E51">
        <v>12740.42</v>
      </c>
      <c r="F51">
        <v>11676.71</v>
      </c>
      <c r="G51">
        <v>14598.1</v>
      </c>
      <c r="H51">
        <v>14598.56</v>
      </c>
      <c r="I51">
        <v>14063.67</v>
      </c>
      <c r="J51">
        <v>14097.88</v>
      </c>
      <c r="K51">
        <v>13867.87</v>
      </c>
      <c r="L51">
        <v>14830.16</v>
      </c>
      <c r="M51">
        <v>14914.39</v>
      </c>
      <c r="N51">
        <v>16456.48</v>
      </c>
      <c r="O51">
        <v>16308.14</v>
      </c>
      <c r="P51">
        <v>20318.03</v>
      </c>
    </row>
    <row r="52" spans="1:16">
      <c r="A52" t="s">
        <v>323</v>
      </c>
      <c r="B52">
        <v>0</v>
      </c>
      <c r="C52">
        <v>52871.43</v>
      </c>
      <c r="D52">
        <v>615958.9</v>
      </c>
      <c r="E52">
        <v>615958.9</v>
      </c>
      <c r="F52">
        <v>1148633.8799999999</v>
      </c>
      <c r="G52">
        <v>3065274.41</v>
      </c>
      <c r="H52">
        <v>3065274.41</v>
      </c>
      <c r="I52">
        <v>4017013.04</v>
      </c>
      <c r="J52">
        <v>4010532.05</v>
      </c>
      <c r="K52">
        <v>5285022.5599999996</v>
      </c>
      <c r="L52">
        <v>9581507.8599999994</v>
      </c>
      <c r="M52">
        <v>9586965.6099999994</v>
      </c>
      <c r="N52">
        <v>11395945.6</v>
      </c>
      <c r="O52">
        <v>10547049.029999999</v>
      </c>
      <c r="P52">
        <v>15258659.619999999</v>
      </c>
    </row>
    <row r="53" spans="1:16">
      <c r="A53" t="s">
        <v>324</v>
      </c>
      <c r="B53">
        <v>0.5867</v>
      </c>
      <c r="C53">
        <v>0.52490000000000003</v>
      </c>
      <c r="D53">
        <v>0.49349999999999999</v>
      </c>
      <c r="E53">
        <v>0.49390000000000001</v>
      </c>
      <c r="F53">
        <v>0.41010000000000002</v>
      </c>
      <c r="G53">
        <v>0.46100000000000002</v>
      </c>
      <c r="H53">
        <v>0.46150000000000002</v>
      </c>
      <c r="I53">
        <v>0.38400000000000001</v>
      </c>
      <c r="J53">
        <v>0.38650000000000001</v>
      </c>
      <c r="K53">
        <v>0.2969</v>
      </c>
      <c r="L53">
        <v>0.16289999999999999</v>
      </c>
      <c r="M53">
        <v>0.1653</v>
      </c>
      <c r="N53">
        <v>0.1515</v>
      </c>
      <c r="O53">
        <v>0.17610000000000001</v>
      </c>
      <c r="P53">
        <v>0.1472</v>
      </c>
    </row>
    <row r="54" spans="1:16">
      <c r="A54" t="s">
        <v>213</v>
      </c>
      <c r="B54" s="5">
        <v>13485.598747224261</v>
      </c>
      <c r="C54" s="5">
        <v>12451.2673486436</v>
      </c>
      <c r="D54" s="5">
        <v>11927.49431559985</v>
      </c>
      <c r="E54" s="5">
        <v>11927.632838397827</v>
      </c>
      <c r="F54" s="5">
        <v>10336.847211951135</v>
      </c>
      <c r="G54" s="5">
        <v>11263.529081155364</v>
      </c>
      <c r="H54" s="5">
        <v>11263.985391548693</v>
      </c>
      <c r="I54" s="5">
        <v>9767.4889743237291</v>
      </c>
      <c r="J54" s="5">
        <v>9807.7991085344966</v>
      </c>
      <c r="K54" s="5">
        <v>8283.0083912731261</v>
      </c>
      <c r="L54" s="5">
        <v>4855.1028615805344</v>
      </c>
      <c r="M54" s="5">
        <v>4932.5462725985053</v>
      </c>
      <c r="N54" s="5">
        <v>4609.6638902182376</v>
      </c>
      <c r="O54" s="5">
        <v>5328.1276601660938</v>
      </c>
      <c r="P54" s="5">
        <v>4480.6553676540198</v>
      </c>
    </row>
    <row r="55" spans="1:16">
      <c r="A55" t="s">
        <v>214</v>
      </c>
      <c r="B55" s="5">
        <v>199.14125277573839</v>
      </c>
      <c r="C55" s="5">
        <v>238.51265135640097</v>
      </c>
      <c r="D55" s="5">
        <v>812.78568440015079</v>
      </c>
      <c r="E55" s="5">
        <v>812.787161602173</v>
      </c>
      <c r="F55" s="5">
        <v>1339.8627880488639</v>
      </c>
      <c r="G55" s="5">
        <v>3334.5709188446363</v>
      </c>
      <c r="H55" s="5">
        <v>3334.5746084513066</v>
      </c>
      <c r="I55" s="5">
        <v>4296.181025676271</v>
      </c>
      <c r="J55" s="5">
        <v>4290.0808914655026</v>
      </c>
      <c r="K55" s="5">
        <v>5584.8616087268747</v>
      </c>
      <c r="L55" s="5">
        <v>9975.0571384194664</v>
      </c>
      <c r="M55" s="5">
        <v>9981.8437274014941</v>
      </c>
      <c r="N55" s="5">
        <v>11846.816109781761</v>
      </c>
      <c r="O55" s="5">
        <v>10980.012339833906</v>
      </c>
      <c r="P55" s="5">
        <v>15837.374632345978</v>
      </c>
    </row>
    <row r="56" spans="1:16">
      <c r="A56" t="s">
        <v>25</v>
      </c>
      <c r="B56" s="5"/>
      <c r="C56" s="5"/>
    </row>
    <row r="57" spans="1:16">
      <c r="A57" t="s">
        <v>85</v>
      </c>
      <c r="B57" s="8">
        <v>0</v>
      </c>
      <c r="C57" s="8">
        <v>0</v>
      </c>
      <c r="D57" s="8">
        <v>0</v>
      </c>
      <c r="E57" s="8">
        <v>0</v>
      </c>
      <c r="F57" s="8">
        <v>0</v>
      </c>
      <c r="G57" s="8">
        <v>0</v>
      </c>
      <c r="H57" s="8">
        <v>0</v>
      </c>
      <c r="I57" s="8">
        <v>0</v>
      </c>
      <c r="J57" s="8">
        <v>0</v>
      </c>
      <c r="K57" s="8">
        <v>0</v>
      </c>
      <c r="L57" s="8">
        <v>0</v>
      </c>
      <c r="M57" s="8">
        <v>0</v>
      </c>
      <c r="N57" s="8">
        <v>0</v>
      </c>
      <c r="O57" s="8">
        <v>0</v>
      </c>
      <c r="P57" s="8">
        <v>0</v>
      </c>
    </row>
    <row r="58" spans="1:16">
      <c r="A58" t="s">
        <v>86</v>
      </c>
      <c r="B58" s="8">
        <v>0</v>
      </c>
      <c r="C58" s="8">
        <v>1050000</v>
      </c>
      <c r="D58" s="8">
        <v>1550000</v>
      </c>
      <c r="E58" s="8">
        <v>1670000</v>
      </c>
      <c r="F58" s="8">
        <v>2500000</v>
      </c>
      <c r="G58" s="8">
        <v>2550000</v>
      </c>
      <c r="H58" s="8">
        <v>2670000</v>
      </c>
      <c r="I58" s="8">
        <v>3500000</v>
      </c>
      <c r="J58" s="8">
        <v>3620000</v>
      </c>
      <c r="K58" s="8">
        <v>4200000</v>
      </c>
      <c r="L58" s="8">
        <v>4800000</v>
      </c>
      <c r="M58" s="8">
        <v>4920000</v>
      </c>
      <c r="N58" s="8">
        <v>5300000</v>
      </c>
      <c r="O58" s="8">
        <v>5600000</v>
      </c>
      <c r="P58" s="8">
        <v>6300000</v>
      </c>
    </row>
    <row r="59" spans="1:16">
      <c r="A59" t="s">
        <v>87</v>
      </c>
      <c r="B59" s="8">
        <v>0</v>
      </c>
      <c r="C59" s="8">
        <v>1050000</v>
      </c>
      <c r="D59" s="8">
        <v>1550000</v>
      </c>
      <c r="E59" s="8">
        <v>1670000</v>
      </c>
      <c r="F59" s="8">
        <v>2500000</v>
      </c>
      <c r="G59" s="8">
        <v>2550000</v>
      </c>
      <c r="H59" s="8">
        <v>2670000</v>
      </c>
      <c r="I59" s="8">
        <v>3500000</v>
      </c>
      <c r="J59" s="8">
        <v>3620000</v>
      </c>
      <c r="K59" s="8">
        <v>4200000</v>
      </c>
      <c r="L59" s="8">
        <v>4800000</v>
      </c>
      <c r="M59" s="8">
        <v>4920000</v>
      </c>
      <c r="N59" s="8">
        <v>5300000</v>
      </c>
      <c r="O59" s="8">
        <v>5600000</v>
      </c>
      <c r="P59" s="8">
        <v>6300000</v>
      </c>
    </row>
    <row r="60" spans="1:16">
      <c r="A60" t="s">
        <v>88</v>
      </c>
    </row>
    <row r="61" spans="1:16">
      <c r="A61" t="s">
        <v>89</v>
      </c>
      <c r="B61">
        <v>1278</v>
      </c>
      <c r="C61">
        <v>1278</v>
      </c>
      <c r="D61">
        <v>1278</v>
      </c>
      <c r="E61">
        <v>1278</v>
      </c>
      <c r="F61">
        <v>1278</v>
      </c>
      <c r="G61">
        <v>1278</v>
      </c>
      <c r="H61">
        <v>1278</v>
      </c>
      <c r="I61">
        <v>1278</v>
      </c>
      <c r="J61">
        <v>1278</v>
      </c>
      <c r="K61">
        <v>1278</v>
      </c>
      <c r="L61">
        <v>1278</v>
      </c>
      <c r="M61">
        <v>1278</v>
      </c>
      <c r="N61">
        <v>1278</v>
      </c>
      <c r="O61">
        <v>1278</v>
      </c>
      <c r="P61">
        <v>1278</v>
      </c>
    </row>
    <row r="62" spans="1:16">
      <c r="A62" t="s">
        <v>96</v>
      </c>
      <c r="B62">
        <v>0</v>
      </c>
      <c r="C62">
        <v>0</v>
      </c>
      <c r="D62">
        <v>300</v>
      </c>
      <c r="E62">
        <v>300</v>
      </c>
      <c r="F62">
        <v>300</v>
      </c>
      <c r="G62">
        <v>500</v>
      </c>
      <c r="H62">
        <v>500</v>
      </c>
      <c r="I62">
        <v>500</v>
      </c>
      <c r="J62">
        <v>500</v>
      </c>
      <c r="K62">
        <v>500</v>
      </c>
      <c r="L62">
        <v>200</v>
      </c>
      <c r="M62">
        <v>200</v>
      </c>
      <c r="N62">
        <v>300</v>
      </c>
      <c r="O62">
        <v>500</v>
      </c>
      <c r="P62">
        <v>500</v>
      </c>
    </row>
    <row r="63" spans="1:16">
      <c r="A63" t="s">
        <v>97</v>
      </c>
      <c r="B63">
        <v>0</v>
      </c>
      <c r="C63">
        <v>0</v>
      </c>
      <c r="D63">
        <v>0</v>
      </c>
      <c r="E63">
        <v>0</v>
      </c>
      <c r="F63">
        <v>100</v>
      </c>
      <c r="G63">
        <v>0</v>
      </c>
      <c r="H63">
        <v>0</v>
      </c>
      <c r="I63">
        <v>100</v>
      </c>
      <c r="J63">
        <v>100</v>
      </c>
      <c r="K63">
        <v>200</v>
      </c>
      <c r="L63">
        <v>500</v>
      </c>
      <c r="M63">
        <v>500</v>
      </c>
      <c r="N63">
        <v>500</v>
      </c>
      <c r="O63">
        <v>400</v>
      </c>
      <c r="P63">
        <v>500</v>
      </c>
    </row>
    <row r="64" spans="1:16">
      <c r="A64" t="s">
        <v>322</v>
      </c>
      <c r="B64" s="9">
        <v>0.34960000000000002</v>
      </c>
      <c r="C64" s="9">
        <v>0.3271</v>
      </c>
      <c r="D64" s="9">
        <v>0.30930000000000002</v>
      </c>
      <c r="E64" s="9">
        <v>0.30909999999999999</v>
      </c>
      <c r="F64" s="9">
        <v>0.28449999999999998</v>
      </c>
      <c r="G64" s="9">
        <v>0.28799999999999998</v>
      </c>
      <c r="H64" s="9">
        <v>0.28789999999999999</v>
      </c>
      <c r="I64" s="9">
        <v>0.26450000000000001</v>
      </c>
      <c r="J64" s="9">
        <v>0.26529999999999998</v>
      </c>
      <c r="K64" s="9">
        <v>0.23100000000000001</v>
      </c>
      <c r="L64" s="9">
        <v>0.12590000000000001</v>
      </c>
      <c r="M64" s="9">
        <v>0.127</v>
      </c>
      <c r="N64" s="9">
        <v>0.11700000000000001</v>
      </c>
      <c r="O64" s="9">
        <v>0.13900000000000001</v>
      </c>
      <c r="P64" s="9">
        <v>0.11219999999999999</v>
      </c>
    </row>
    <row r="65" spans="1:16">
      <c r="A65" t="s">
        <v>321</v>
      </c>
      <c r="B65" s="9">
        <v>0.5867</v>
      </c>
      <c r="C65" s="9">
        <v>0.52490000000000003</v>
      </c>
      <c r="D65" s="9">
        <v>0.49349999999999999</v>
      </c>
      <c r="E65" s="9">
        <v>0.49390000000000001</v>
      </c>
      <c r="F65" s="9">
        <v>0.41010000000000002</v>
      </c>
      <c r="G65" s="9">
        <v>0.46100000000000002</v>
      </c>
      <c r="H65" s="9">
        <v>0.46150000000000002</v>
      </c>
      <c r="I65" s="9">
        <v>0.38400000000000001</v>
      </c>
      <c r="J65" s="9">
        <v>0.38650000000000001</v>
      </c>
      <c r="K65" s="9">
        <v>0.2969</v>
      </c>
      <c r="L65" s="9">
        <v>0.16289999999999999</v>
      </c>
      <c r="M65" s="9">
        <v>0.1653</v>
      </c>
      <c r="N65" s="9">
        <v>0.1515</v>
      </c>
      <c r="O65" s="9">
        <v>0.17610000000000001</v>
      </c>
      <c r="P65" s="9">
        <v>0.1472</v>
      </c>
    </row>
    <row r="66" spans="1:16">
      <c r="A66" t="s">
        <v>320</v>
      </c>
      <c r="B66" s="9"/>
      <c r="C66" s="9"/>
      <c r="D66" s="9"/>
      <c r="E66" s="9"/>
      <c r="F66" s="9"/>
      <c r="G66" s="9"/>
      <c r="H66" s="9"/>
      <c r="I66" s="9"/>
      <c r="J66" s="9"/>
      <c r="K66" s="9"/>
      <c r="L66" s="9"/>
      <c r="M66" s="9"/>
      <c r="N66" s="9"/>
      <c r="O66" s="9"/>
      <c r="P66" s="9"/>
    </row>
    <row r="67" spans="1:16">
      <c r="A67" t="s">
        <v>51</v>
      </c>
      <c r="B67">
        <v>0</v>
      </c>
      <c r="C67">
        <v>4469315.17</v>
      </c>
      <c r="D67">
        <v>6167321</v>
      </c>
      <c r="E67">
        <v>6167321</v>
      </c>
      <c r="F67">
        <v>6167321</v>
      </c>
      <c r="G67">
        <v>8240192.0899999999</v>
      </c>
      <c r="H67">
        <v>8240192.0899999999</v>
      </c>
      <c r="I67">
        <v>8240192.0899999999</v>
      </c>
      <c r="J67">
        <v>8240192.0899999999</v>
      </c>
      <c r="K67">
        <v>8240192.0899999999</v>
      </c>
      <c r="L67">
        <v>4469315.17</v>
      </c>
      <c r="M67">
        <v>4469315.17</v>
      </c>
      <c r="N67">
        <v>6167321</v>
      </c>
      <c r="O67">
        <v>8240192.0899999999</v>
      </c>
      <c r="P67">
        <v>8240192.0899999999</v>
      </c>
    </row>
    <row r="68" spans="1:16">
      <c r="A68" t="s">
        <v>55</v>
      </c>
      <c r="B68">
        <v>0</v>
      </c>
      <c r="C68">
        <v>4469315.17</v>
      </c>
      <c r="D68">
        <v>6167321</v>
      </c>
      <c r="E68">
        <v>6167321</v>
      </c>
      <c r="F68">
        <v>6167321</v>
      </c>
      <c r="G68">
        <v>8240192.0899999999</v>
      </c>
      <c r="H68">
        <v>8240192.0899999999</v>
      </c>
      <c r="I68">
        <v>8240192.0899999999</v>
      </c>
      <c r="J68">
        <v>8240192.0899999999</v>
      </c>
      <c r="K68">
        <v>8240192.0899999999</v>
      </c>
      <c r="L68">
        <v>4469315.17</v>
      </c>
      <c r="M68">
        <v>4469315.17</v>
      </c>
      <c r="N68">
        <v>6167321</v>
      </c>
      <c r="O68">
        <v>8240192.0899999999</v>
      </c>
      <c r="P68">
        <v>8240192.0899999999</v>
      </c>
    </row>
    <row r="69" spans="1:16">
      <c r="A69" t="s">
        <v>53</v>
      </c>
      <c r="B69">
        <v>0</v>
      </c>
      <c r="C69">
        <v>4469315.17</v>
      </c>
      <c r="D69">
        <v>6167321</v>
      </c>
      <c r="E69">
        <v>6167321</v>
      </c>
      <c r="F69">
        <v>6167321</v>
      </c>
      <c r="G69">
        <v>8240192.0899999999</v>
      </c>
      <c r="H69">
        <v>8240192.0899999999</v>
      </c>
      <c r="I69">
        <v>8240192.0899999999</v>
      </c>
      <c r="J69">
        <v>8240192.0899999999</v>
      </c>
      <c r="K69">
        <v>8240192.0899999999</v>
      </c>
      <c r="L69">
        <v>4469315.17</v>
      </c>
      <c r="M69">
        <v>4469315.17</v>
      </c>
      <c r="N69">
        <v>6167321</v>
      </c>
      <c r="O69">
        <v>8240192.0899999999</v>
      </c>
      <c r="P69">
        <v>8240192.0899999999</v>
      </c>
    </row>
    <row r="70" spans="1:16">
      <c r="A70" t="s">
        <v>65</v>
      </c>
      <c r="B70">
        <v>0</v>
      </c>
      <c r="C70">
        <v>4469315.17</v>
      </c>
      <c r="D70">
        <v>6167321</v>
      </c>
      <c r="E70">
        <v>6167321</v>
      </c>
      <c r="F70">
        <v>6167321</v>
      </c>
      <c r="G70">
        <v>8240192.0899999999</v>
      </c>
      <c r="H70">
        <v>8240192.0899999999</v>
      </c>
      <c r="I70">
        <v>8240192.0899999999</v>
      </c>
      <c r="J70">
        <v>8240192.0899999999</v>
      </c>
      <c r="K70">
        <v>8240192.0899999999</v>
      </c>
      <c r="L70">
        <v>4469315.17</v>
      </c>
      <c r="M70">
        <v>4469315.17</v>
      </c>
      <c r="N70">
        <v>6167321</v>
      </c>
      <c r="O70">
        <v>8240192.0899999999</v>
      </c>
      <c r="P70">
        <v>8240192.0899999999</v>
      </c>
    </row>
    <row r="71" spans="1:16">
      <c r="A71" t="s">
        <v>93</v>
      </c>
    </row>
    <row r="72" spans="1:16">
      <c r="A72" t="s">
        <v>51</v>
      </c>
      <c r="B72">
        <v>0</v>
      </c>
      <c r="C72">
        <v>52871.43</v>
      </c>
      <c r="D72">
        <v>615958.9</v>
      </c>
      <c r="E72">
        <v>615958.9</v>
      </c>
      <c r="F72">
        <v>615958.9</v>
      </c>
      <c r="G72">
        <v>3065274.41</v>
      </c>
      <c r="H72">
        <v>3065274.41</v>
      </c>
      <c r="I72">
        <v>3065274.41</v>
      </c>
      <c r="J72">
        <v>3065274.41</v>
      </c>
      <c r="K72">
        <v>3065274.41</v>
      </c>
      <c r="L72">
        <v>52871.43</v>
      </c>
      <c r="M72">
        <v>52871.43</v>
      </c>
      <c r="N72">
        <v>615958.9</v>
      </c>
      <c r="O72">
        <v>3065274.41</v>
      </c>
      <c r="P72">
        <v>3065274.41</v>
      </c>
    </row>
    <row r="73" spans="1:16">
      <c r="A73" t="s">
        <v>55</v>
      </c>
      <c r="B73">
        <v>0</v>
      </c>
      <c r="C73">
        <v>52871.43</v>
      </c>
      <c r="D73">
        <v>615958.9</v>
      </c>
      <c r="E73">
        <v>615958.9</v>
      </c>
      <c r="F73">
        <v>615958.9</v>
      </c>
      <c r="G73">
        <v>3065274.41</v>
      </c>
      <c r="H73">
        <v>3065274.41</v>
      </c>
      <c r="I73">
        <v>3065274.41</v>
      </c>
      <c r="J73">
        <v>3065274.41</v>
      </c>
      <c r="K73">
        <v>3065274.41</v>
      </c>
      <c r="L73">
        <v>52871.43</v>
      </c>
      <c r="M73">
        <v>52871.43</v>
      </c>
      <c r="N73">
        <v>615958.9</v>
      </c>
      <c r="O73">
        <v>3065274.41</v>
      </c>
      <c r="P73">
        <v>3065274.41</v>
      </c>
    </row>
    <row r="74" spans="1:16">
      <c r="A74" t="s">
        <v>53</v>
      </c>
      <c r="B74">
        <v>0</v>
      </c>
      <c r="C74">
        <v>52871.43</v>
      </c>
      <c r="D74">
        <v>615958.9</v>
      </c>
      <c r="E74">
        <v>615958.9</v>
      </c>
      <c r="F74">
        <v>615958.9</v>
      </c>
      <c r="G74">
        <v>3065274.41</v>
      </c>
      <c r="H74">
        <v>3065274.41</v>
      </c>
      <c r="I74">
        <v>3065274.41</v>
      </c>
      <c r="J74">
        <v>3065274.41</v>
      </c>
      <c r="K74">
        <v>3065274.41</v>
      </c>
      <c r="L74">
        <v>52871.43</v>
      </c>
      <c r="M74">
        <v>52871.43</v>
      </c>
      <c r="N74">
        <v>615958.9</v>
      </c>
      <c r="O74">
        <v>3065274.41</v>
      </c>
      <c r="P74">
        <v>3065274.41</v>
      </c>
    </row>
    <row r="75" spans="1:16">
      <c r="A75" t="s">
        <v>65</v>
      </c>
      <c r="B75">
        <v>0</v>
      </c>
      <c r="C75">
        <v>52871.43</v>
      </c>
      <c r="D75">
        <v>615958.9</v>
      </c>
      <c r="E75">
        <v>615958.9</v>
      </c>
      <c r="F75">
        <v>615958.9</v>
      </c>
      <c r="G75">
        <v>3065274.41</v>
      </c>
      <c r="H75">
        <v>3065274.41</v>
      </c>
      <c r="I75">
        <v>3065274.41</v>
      </c>
      <c r="J75">
        <v>3065274.41</v>
      </c>
      <c r="K75">
        <v>3065274.41</v>
      </c>
      <c r="L75">
        <v>52871.43</v>
      </c>
      <c r="M75">
        <v>52871.43</v>
      </c>
      <c r="N75">
        <v>615958.9</v>
      </c>
      <c r="O75">
        <v>3065274.41</v>
      </c>
      <c r="P75">
        <v>3065274.41</v>
      </c>
    </row>
    <row r="76" spans="1:16">
      <c r="A76" t="s">
        <v>94</v>
      </c>
    </row>
    <row r="77" spans="1:16">
      <c r="A77" t="s">
        <v>51</v>
      </c>
      <c r="B77">
        <v>0</v>
      </c>
      <c r="C77">
        <v>0</v>
      </c>
      <c r="D77">
        <v>0</v>
      </c>
      <c r="E77">
        <v>0</v>
      </c>
      <c r="F77">
        <v>6390328.3399999999</v>
      </c>
      <c r="G77">
        <v>0</v>
      </c>
      <c r="H77">
        <v>0</v>
      </c>
      <c r="I77">
        <v>5923778.4199999999</v>
      </c>
      <c r="J77">
        <v>5787816.1299999999</v>
      </c>
      <c r="K77">
        <v>11392049.35</v>
      </c>
      <c r="L77">
        <v>24970771.870000001</v>
      </c>
      <c r="M77">
        <v>24828465.98</v>
      </c>
      <c r="N77">
        <v>23920105.329999998</v>
      </c>
      <c r="O77">
        <v>20001910.940000001</v>
      </c>
      <c r="P77">
        <v>22144393.280000001</v>
      </c>
    </row>
    <row r="78" spans="1:16">
      <c r="A78" t="s">
        <v>55</v>
      </c>
      <c r="B78">
        <v>0</v>
      </c>
      <c r="C78">
        <v>0</v>
      </c>
      <c r="D78">
        <v>0</v>
      </c>
      <c r="E78">
        <v>0</v>
      </c>
      <c r="F78">
        <v>6390328.3399999999</v>
      </c>
      <c r="G78">
        <v>0</v>
      </c>
      <c r="H78">
        <v>0</v>
      </c>
      <c r="I78">
        <v>5923778.4199999999</v>
      </c>
      <c r="J78">
        <v>5787816.1299999999</v>
      </c>
      <c r="K78">
        <v>11392049.35</v>
      </c>
      <c r="L78">
        <v>24970771.870000001</v>
      </c>
      <c r="M78">
        <v>24828465.98</v>
      </c>
      <c r="N78">
        <v>23920105.329999998</v>
      </c>
      <c r="O78">
        <v>20001910.940000001</v>
      </c>
      <c r="P78">
        <v>22144393.280000001</v>
      </c>
    </row>
    <row r="79" spans="1:16">
      <c r="A79" t="s">
        <v>53</v>
      </c>
      <c r="B79">
        <v>0</v>
      </c>
      <c r="C79">
        <v>0</v>
      </c>
      <c r="D79">
        <v>0</v>
      </c>
      <c r="E79">
        <v>0</v>
      </c>
      <c r="F79">
        <v>6390328.3399999999</v>
      </c>
      <c r="G79">
        <v>0</v>
      </c>
      <c r="H79">
        <v>0</v>
      </c>
      <c r="I79">
        <v>5923778.4199999999</v>
      </c>
      <c r="J79">
        <v>5787816.1299999999</v>
      </c>
      <c r="K79">
        <v>11392049.35</v>
      </c>
      <c r="L79">
        <v>24970771.870000001</v>
      </c>
      <c r="M79">
        <v>24828465.98</v>
      </c>
      <c r="N79">
        <v>23920105.329999998</v>
      </c>
      <c r="O79">
        <v>20001910.940000001</v>
      </c>
      <c r="P79">
        <v>22144393.280000001</v>
      </c>
    </row>
    <row r="80" spans="1:16">
      <c r="A80" t="s">
        <v>65</v>
      </c>
      <c r="B80">
        <v>0</v>
      </c>
      <c r="C80">
        <v>0</v>
      </c>
      <c r="D80">
        <v>0</v>
      </c>
      <c r="E80">
        <v>0</v>
      </c>
      <c r="F80">
        <v>6390328.3399999999</v>
      </c>
      <c r="G80">
        <v>0</v>
      </c>
      <c r="H80">
        <v>0</v>
      </c>
      <c r="I80">
        <v>5923778.4199999999</v>
      </c>
      <c r="J80">
        <v>5787816.1299999999</v>
      </c>
      <c r="K80">
        <v>11392049.35</v>
      </c>
      <c r="L80">
        <v>24970771.870000001</v>
      </c>
      <c r="M80">
        <v>24828465.98</v>
      </c>
      <c r="N80">
        <v>23920105.329999998</v>
      </c>
      <c r="O80">
        <v>20001910.940000001</v>
      </c>
      <c r="P80">
        <v>22144393.280000001</v>
      </c>
    </row>
    <row r="81" spans="1:16">
      <c r="A81" t="s">
        <v>95</v>
      </c>
    </row>
    <row r="82" spans="1:16">
      <c r="A82" t="s">
        <v>51</v>
      </c>
      <c r="B82">
        <v>0</v>
      </c>
      <c r="C82">
        <v>0</v>
      </c>
      <c r="D82">
        <v>0</v>
      </c>
      <c r="E82">
        <v>0</v>
      </c>
      <c r="F82">
        <v>532674.98</v>
      </c>
      <c r="G82">
        <v>0</v>
      </c>
      <c r="H82">
        <v>0</v>
      </c>
      <c r="I82">
        <v>951738.64</v>
      </c>
      <c r="J82">
        <v>945257.64</v>
      </c>
      <c r="K82">
        <v>2219748.16</v>
      </c>
      <c r="L82">
        <v>9528636.4399999995</v>
      </c>
      <c r="M82">
        <v>9534094.1799999997</v>
      </c>
      <c r="N82">
        <v>10779986.699999999</v>
      </c>
      <c r="O82">
        <v>7481774.6200000001</v>
      </c>
      <c r="P82">
        <v>12193385.210000001</v>
      </c>
    </row>
    <row r="83" spans="1:16">
      <c r="A83" t="s">
        <v>55</v>
      </c>
      <c r="B83">
        <v>0</v>
      </c>
      <c r="C83">
        <v>0</v>
      </c>
      <c r="D83">
        <v>0</v>
      </c>
      <c r="E83">
        <v>0</v>
      </c>
      <c r="F83">
        <v>532674.98</v>
      </c>
      <c r="G83">
        <v>0</v>
      </c>
      <c r="H83">
        <v>0</v>
      </c>
      <c r="I83">
        <v>951738.64</v>
      </c>
      <c r="J83">
        <v>945257.64</v>
      </c>
      <c r="K83">
        <v>2219748.16</v>
      </c>
      <c r="L83">
        <v>9528636.4399999995</v>
      </c>
      <c r="M83">
        <v>9534094.1799999997</v>
      </c>
      <c r="N83">
        <v>10779986.699999999</v>
      </c>
      <c r="O83">
        <v>7481774.6200000001</v>
      </c>
      <c r="P83">
        <v>12193385.210000001</v>
      </c>
    </row>
    <row r="84" spans="1:16">
      <c r="A84" t="s">
        <v>53</v>
      </c>
      <c r="B84">
        <v>0</v>
      </c>
      <c r="C84">
        <v>0</v>
      </c>
      <c r="D84">
        <v>0</v>
      </c>
      <c r="E84">
        <v>0</v>
      </c>
      <c r="F84">
        <v>532674.98</v>
      </c>
      <c r="G84">
        <v>0</v>
      </c>
      <c r="H84">
        <v>0</v>
      </c>
      <c r="I84">
        <v>951738.64</v>
      </c>
      <c r="J84">
        <v>945257.64</v>
      </c>
      <c r="K84">
        <v>2219748.16</v>
      </c>
      <c r="L84">
        <v>9528636.4399999995</v>
      </c>
      <c r="M84">
        <v>9534094.1799999997</v>
      </c>
      <c r="N84">
        <v>10779986.699999999</v>
      </c>
      <c r="O84">
        <v>7481774.6200000001</v>
      </c>
      <c r="P84">
        <v>12193385.210000001</v>
      </c>
    </row>
    <row r="85" spans="1:16">
      <c r="A85" t="s">
        <v>65</v>
      </c>
      <c r="B85">
        <v>0</v>
      </c>
      <c r="C85">
        <v>0</v>
      </c>
      <c r="D85">
        <v>0</v>
      </c>
      <c r="E85">
        <v>0</v>
      </c>
      <c r="F85">
        <v>532674.98</v>
      </c>
      <c r="G85">
        <v>0</v>
      </c>
      <c r="H85">
        <v>0</v>
      </c>
      <c r="I85">
        <v>951738.64</v>
      </c>
      <c r="J85">
        <v>945257.64</v>
      </c>
      <c r="K85">
        <v>2219748.16</v>
      </c>
      <c r="L85">
        <v>9528636.4399999995</v>
      </c>
      <c r="M85">
        <v>9534094.1799999997</v>
      </c>
      <c r="N85">
        <v>10779986.699999999</v>
      </c>
      <c r="O85">
        <v>7481774.6200000001</v>
      </c>
      <c r="P85">
        <v>12193385.210000001</v>
      </c>
    </row>
    <row r="86" spans="1:16">
      <c r="A86" t="s">
        <v>109</v>
      </c>
    </row>
    <row r="87" spans="1:16">
      <c r="A87" t="s">
        <v>110</v>
      </c>
      <c r="B87">
        <v>0</v>
      </c>
      <c r="C87">
        <v>0</v>
      </c>
      <c r="D87">
        <v>0</v>
      </c>
      <c r="E87">
        <v>0</v>
      </c>
      <c r="F87">
        <v>0</v>
      </c>
      <c r="G87">
        <v>0</v>
      </c>
      <c r="H87">
        <v>0</v>
      </c>
      <c r="I87">
        <v>0</v>
      </c>
      <c r="J87">
        <v>0</v>
      </c>
      <c r="K87">
        <v>0</v>
      </c>
      <c r="L87">
        <v>0</v>
      </c>
      <c r="M87">
        <v>0</v>
      </c>
      <c r="N87">
        <v>0</v>
      </c>
      <c r="O87">
        <v>0</v>
      </c>
      <c r="P87">
        <v>0</v>
      </c>
    </row>
    <row r="88" spans="1:16">
      <c r="A88" t="s">
        <v>112</v>
      </c>
      <c r="B88">
        <v>0</v>
      </c>
      <c r="C88">
        <v>0</v>
      </c>
      <c r="D88">
        <v>0</v>
      </c>
      <c r="E88">
        <v>0</v>
      </c>
      <c r="F88">
        <v>0</v>
      </c>
      <c r="G88">
        <v>0</v>
      </c>
      <c r="H88">
        <v>0</v>
      </c>
      <c r="I88">
        <v>0</v>
      </c>
      <c r="J88">
        <v>0</v>
      </c>
      <c r="K88">
        <v>0</v>
      </c>
      <c r="L88">
        <v>0</v>
      </c>
      <c r="M88">
        <v>0</v>
      </c>
      <c r="N88">
        <v>0</v>
      </c>
      <c r="O88">
        <v>0</v>
      </c>
      <c r="P88">
        <v>0</v>
      </c>
    </row>
    <row r="89" spans="1:16">
      <c r="A89" t="s">
        <v>113</v>
      </c>
      <c r="B89">
        <v>0</v>
      </c>
      <c r="C89">
        <v>0</v>
      </c>
      <c r="D89">
        <v>0</v>
      </c>
      <c r="E89">
        <v>0</v>
      </c>
      <c r="F89">
        <v>0</v>
      </c>
      <c r="G89">
        <v>0</v>
      </c>
      <c r="H89">
        <v>0</v>
      </c>
      <c r="I89">
        <v>0</v>
      </c>
      <c r="J89">
        <v>0</v>
      </c>
      <c r="K89">
        <v>0</v>
      </c>
      <c r="L89">
        <v>0</v>
      </c>
      <c r="M89">
        <v>0</v>
      </c>
      <c r="N89">
        <v>0</v>
      </c>
      <c r="O89">
        <v>0</v>
      </c>
      <c r="P89">
        <v>0</v>
      </c>
    </row>
    <row r="90" spans="1:16">
      <c r="A90" t="s">
        <v>114</v>
      </c>
    </row>
    <row r="91" spans="1:16">
      <c r="A91" t="s">
        <v>115</v>
      </c>
      <c r="B91">
        <v>0</v>
      </c>
      <c r="C91">
        <v>0</v>
      </c>
      <c r="D91">
        <v>0</v>
      </c>
      <c r="E91">
        <v>0</v>
      </c>
      <c r="F91">
        <v>0</v>
      </c>
      <c r="G91">
        <v>0</v>
      </c>
      <c r="H91">
        <v>0</v>
      </c>
      <c r="I91">
        <v>0</v>
      </c>
      <c r="J91">
        <v>0</v>
      </c>
      <c r="K91">
        <v>0</v>
      </c>
      <c r="L91">
        <v>0</v>
      </c>
      <c r="M91">
        <v>0</v>
      </c>
      <c r="N91">
        <v>0</v>
      </c>
      <c r="O91">
        <v>0</v>
      </c>
      <c r="P91">
        <v>0</v>
      </c>
    </row>
    <row r="92" spans="1:16">
      <c r="A92" t="s">
        <v>117</v>
      </c>
      <c r="B92">
        <v>0</v>
      </c>
      <c r="C92">
        <v>0</v>
      </c>
      <c r="D92">
        <v>0</v>
      </c>
      <c r="E92">
        <v>0</v>
      </c>
      <c r="F92">
        <v>0</v>
      </c>
      <c r="G92">
        <v>0</v>
      </c>
      <c r="H92">
        <v>0</v>
      </c>
      <c r="I92">
        <v>0</v>
      </c>
      <c r="J92">
        <v>0</v>
      </c>
      <c r="K92">
        <v>0</v>
      </c>
      <c r="L92">
        <v>0</v>
      </c>
      <c r="M92">
        <v>0</v>
      </c>
      <c r="N92">
        <v>0</v>
      </c>
      <c r="O92">
        <v>0</v>
      </c>
      <c r="P92">
        <v>0</v>
      </c>
    </row>
    <row r="93" spans="1:16">
      <c r="A93" t="s">
        <v>118</v>
      </c>
      <c r="B93">
        <v>0</v>
      </c>
      <c r="C93">
        <v>0</v>
      </c>
      <c r="D93">
        <v>0</v>
      </c>
      <c r="E93">
        <v>0</v>
      </c>
      <c r="F93">
        <v>0</v>
      </c>
      <c r="G93">
        <v>0</v>
      </c>
      <c r="H93">
        <v>0</v>
      </c>
      <c r="I93">
        <v>0</v>
      </c>
      <c r="J93">
        <v>0</v>
      </c>
      <c r="K93">
        <v>0</v>
      </c>
      <c r="L93">
        <v>0</v>
      </c>
      <c r="M93">
        <v>0</v>
      </c>
      <c r="N93">
        <v>0</v>
      </c>
      <c r="O93">
        <v>0</v>
      </c>
      <c r="P93">
        <v>0</v>
      </c>
    </row>
    <row r="94" spans="1:16">
      <c r="A94" t="s">
        <v>50</v>
      </c>
      <c r="B94">
        <v>0</v>
      </c>
      <c r="C94">
        <v>0</v>
      </c>
      <c r="D94">
        <v>0</v>
      </c>
      <c r="E94">
        <v>0</v>
      </c>
      <c r="F94">
        <v>0</v>
      </c>
      <c r="G94">
        <v>0</v>
      </c>
      <c r="H94">
        <v>0</v>
      </c>
      <c r="I94">
        <v>0</v>
      </c>
      <c r="J94">
        <v>0</v>
      </c>
      <c r="K94">
        <v>0</v>
      </c>
      <c r="L94">
        <v>0</v>
      </c>
      <c r="M94">
        <v>0</v>
      </c>
      <c r="N94">
        <v>0</v>
      </c>
      <c r="O94">
        <v>0</v>
      </c>
      <c r="P94">
        <v>0</v>
      </c>
    </row>
    <row r="95" spans="1:16">
      <c r="A95" t="s">
        <v>119</v>
      </c>
      <c r="B95">
        <v>0</v>
      </c>
      <c r="C95">
        <v>0</v>
      </c>
      <c r="D95">
        <v>0</v>
      </c>
      <c r="E95">
        <v>0</v>
      </c>
      <c r="F95">
        <v>0</v>
      </c>
      <c r="G95">
        <v>0</v>
      </c>
      <c r="H95">
        <v>0</v>
      </c>
      <c r="I95">
        <v>0</v>
      </c>
      <c r="J95">
        <v>0</v>
      </c>
      <c r="K95">
        <v>0</v>
      </c>
      <c r="L95">
        <v>0</v>
      </c>
      <c r="M95">
        <v>0</v>
      </c>
      <c r="N95">
        <v>0</v>
      </c>
      <c r="O95">
        <v>0</v>
      </c>
      <c r="P95">
        <v>0</v>
      </c>
    </row>
    <row r="96" spans="1:16">
      <c r="A96" t="s">
        <v>51</v>
      </c>
      <c r="B96">
        <v>0.6</v>
      </c>
      <c r="C96">
        <v>0.6</v>
      </c>
      <c r="D96">
        <v>0.6</v>
      </c>
      <c r="E96">
        <v>0.6</v>
      </c>
      <c r="F96">
        <v>0.6</v>
      </c>
      <c r="G96">
        <v>0.6</v>
      </c>
      <c r="H96">
        <v>0.6</v>
      </c>
      <c r="I96">
        <v>0.6</v>
      </c>
      <c r="J96">
        <v>0.6</v>
      </c>
      <c r="K96">
        <v>0.6</v>
      </c>
      <c r="L96">
        <v>0.6</v>
      </c>
      <c r="M96">
        <v>0.6</v>
      </c>
      <c r="N96">
        <v>0.6</v>
      </c>
      <c r="O96">
        <v>0.6</v>
      </c>
      <c r="P96">
        <v>0.6</v>
      </c>
    </row>
    <row r="97" spans="1:16">
      <c r="A97" t="s">
        <v>53</v>
      </c>
      <c r="B97">
        <v>189.48</v>
      </c>
      <c r="C97">
        <v>189.48</v>
      </c>
      <c r="D97">
        <v>189.48</v>
      </c>
      <c r="E97">
        <v>189.48</v>
      </c>
      <c r="F97">
        <v>189.48</v>
      </c>
      <c r="G97">
        <v>189.48</v>
      </c>
      <c r="H97">
        <v>189.48</v>
      </c>
      <c r="I97">
        <v>189.48</v>
      </c>
      <c r="J97">
        <v>189.48</v>
      </c>
      <c r="K97">
        <v>189.48</v>
      </c>
      <c r="L97">
        <v>189.48</v>
      </c>
      <c r="M97">
        <v>189.48</v>
      </c>
      <c r="N97">
        <v>189.48</v>
      </c>
      <c r="O97">
        <v>189.48</v>
      </c>
      <c r="P97">
        <v>189.48</v>
      </c>
    </row>
    <row r="98" spans="1:16">
      <c r="A98" t="s">
        <v>55</v>
      </c>
      <c r="B98">
        <v>379.49</v>
      </c>
      <c r="C98">
        <v>379.49</v>
      </c>
      <c r="D98">
        <v>379.49</v>
      </c>
      <c r="E98">
        <v>379.49</v>
      </c>
      <c r="F98">
        <v>379.49</v>
      </c>
      <c r="G98">
        <v>379.49</v>
      </c>
      <c r="H98">
        <v>379.49</v>
      </c>
      <c r="I98">
        <v>379.49</v>
      </c>
      <c r="J98">
        <v>379.49</v>
      </c>
      <c r="K98">
        <v>379.49</v>
      </c>
      <c r="L98">
        <v>379.49</v>
      </c>
      <c r="M98">
        <v>379.49</v>
      </c>
      <c r="N98">
        <v>379.49</v>
      </c>
      <c r="O98">
        <v>379.49</v>
      </c>
      <c r="P98">
        <v>379.49</v>
      </c>
    </row>
    <row r="99" spans="1:16">
      <c r="A99" t="s">
        <v>123</v>
      </c>
    </row>
    <row r="100" spans="1:16">
      <c r="A100" t="s">
        <v>125</v>
      </c>
    </row>
    <row r="101" spans="1:16">
      <c r="A101" t="s">
        <v>124</v>
      </c>
    </row>
    <row r="102" spans="1:16">
      <c r="A102" t="s">
        <v>30</v>
      </c>
    </row>
    <row r="103" spans="1:16">
      <c r="A103" t="s">
        <v>67</v>
      </c>
      <c r="B103" s="9">
        <v>0.99999925000000001</v>
      </c>
      <c r="C103" s="9">
        <v>0.99999921000000003</v>
      </c>
      <c r="D103" s="9">
        <v>0.99999919999999998</v>
      </c>
      <c r="E103" s="9">
        <v>0.99999945999999995</v>
      </c>
      <c r="F103" s="9">
        <v>0.99999903999999995</v>
      </c>
      <c r="G103" s="9">
        <v>0.99999952999999997</v>
      </c>
      <c r="H103" s="9">
        <v>0.99999937000000005</v>
      </c>
      <c r="I103" s="9">
        <v>0.99999914000000001</v>
      </c>
      <c r="J103" s="9">
        <v>0.99999967000000001</v>
      </c>
      <c r="K103" s="9">
        <v>0.99999903000000001</v>
      </c>
      <c r="L103" s="9">
        <v>0.99999956000000001</v>
      </c>
      <c r="M103" s="9">
        <v>0.99999992000000004</v>
      </c>
      <c r="N103" s="9">
        <v>0.99999932999999996</v>
      </c>
      <c r="O103" s="9">
        <v>0.99999945999999995</v>
      </c>
      <c r="P103" s="9">
        <v>0.99999956999999995</v>
      </c>
    </row>
    <row r="104" spans="1:16">
      <c r="A104" t="s">
        <v>68</v>
      </c>
      <c r="B104" s="7">
        <v>1</v>
      </c>
      <c r="C104" s="7">
        <v>1</v>
      </c>
      <c r="D104" s="7">
        <v>1</v>
      </c>
      <c r="E104" s="7">
        <v>1</v>
      </c>
      <c r="F104" s="7">
        <v>1</v>
      </c>
      <c r="G104" s="7">
        <v>1</v>
      </c>
      <c r="H104" s="7">
        <v>1</v>
      </c>
      <c r="I104" s="7">
        <v>1</v>
      </c>
      <c r="J104" s="7">
        <v>1</v>
      </c>
      <c r="K104" s="7">
        <v>1</v>
      </c>
      <c r="L104" s="7">
        <v>1</v>
      </c>
      <c r="M104" s="7">
        <v>1</v>
      </c>
      <c r="N104" s="7">
        <v>1</v>
      </c>
      <c r="O104" s="7">
        <v>1</v>
      </c>
      <c r="P104" s="7">
        <v>1</v>
      </c>
    </row>
    <row r="105" spans="1:16">
      <c r="A105" t="s">
        <v>209</v>
      </c>
      <c r="B105" s="5">
        <v>41495904.130000003</v>
      </c>
      <c r="C105" s="5">
        <v>41495902.789999999</v>
      </c>
      <c r="D105" s="5">
        <v>41495902.200000003</v>
      </c>
      <c r="E105" s="5">
        <v>41495912.829999998</v>
      </c>
      <c r="F105" s="5">
        <v>41495895.520000003</v>
      </c>
      <c r="G105" s="5">
        <v>41495915.789999999</v>
      </c>
      <c r="H105" s="5">
        <v>41495909.359999999</v>
      </c>
      <c r="I105" s="5">
        <v>41495899.560000002</v>
      </c>
      <c r="J105" s="5">
        <v>41495921.530000001</v>
      </c>
      <c r="K105" s="5">
        <v>41495895.189999998</v>
      </c>
      <c r="L105" s="5">
        <v>41495917.060000002</v>
      </c>
      <c r="M105" s="5">
        <v>41495932.18</v>
      </c>
      <c r="N105" s="5">
        <v>41495907.780000001</v>
      </c>
      <c r="O105" s="5">
        <v>41495913.119999997</v>
      </c>
      <c r="P105" s="5">
        <v>41495917.640000001</v>
      </c>
    </row>
    <row r="106" spans="1:16">
      <c r="A106" t="s">
        <v>71</v>
      </c>
      <c r="B106" s="5">
        <v>31.25</v>
      </c>
      <c r="C106" s="5">
        <v>32.590000000000003</v>
      </c>
      <c r="D106" s="5">
        <v>33.18</v>
      </c>
      <c r="E106" s="5">
        <v>22.55</v>
      </c>
      <c r="F106" s="5">
        <v>39.86</v>
      </c>
      <c r="G106" s="5">
        <v>19.59</v>
      </c>
      <c r="H106" s="5">
        <v>26.02</v>
      </c>
      <c r="I106" s="5">
        <v>35.81</v>
      </c>
      <c r="J106" s="5">
        <v>13.85</v>
      </c>
      <c r="K106" s="5">
        <v>40.19</v>
      </c>
      <c r="L106" s="5">
        <v>18.32</v>
      </c>
      <c r="M106" s="5">
        <v>3.2</v>
      </c>
      <c r="N106" s="5">
        <v>27.6</v>
      </c>
      <c r="O106" s="5">
        <v>22.26</v>
      </c>
      <c r="P106" s="5">
        <v>17.739999999999998</v>
      </c>
    </row>
    <row r="107" spans="1:16">
      <c r="A107" t="s">
        <v>72</v>
      </c>
    </row>
    <row r="108" spans="1:16">
      <c r="A108" t="s">
        <v>73</v>
      </c>
      <c r="B108" s="9">
        <v>0.99999925999999995</v>
      </c>
      <c r="C108" s="9">
        <v>0.99999923000000002</v>
      </c>
      <c r="D108" s="9">
        <v>0.99999921999999997</v>
      </c>
      <c r="E108" s="9">
        <v>0.99999948000000005</v>
      </c>
      <c r="F108" s="9">
        <v>0.99999908000000004</v>
      </c>
      <c r="G108" s="9">
        <v>0.99999954000000002</v>
      </c>
      <c r="H108" s="9">
        <v>0.99999939999999998</v>
      </c>
      <c r="I108" s="9">
        <v>0.99999917999999999</v>
      </c>
      <c r="J108" s="9">
        <v>0.99999969</v>
      </c>
      <c r="K108" s="9">
        <v>0.99999906999999999</v>
      </c>
      <c r="L108" s="9">
        <v>0.99999959000000005</v>
      </c>
      <c r="M108" s="9">
        <v>0.99999992999999998</v>
      </c>
      <c r="N108" s="9">
        <v>0.99999936</v>
      </c>
      <c r="O108" s="9">
        <v>0.99999950000000004</v>
      </c>
      <c r="P108" s="9">
        <v>0.99999959999999999</v>
      </c>
    </row>
    <row r="109" spans="1:16">
      <c r="A109" t="s">
        <v>74</v>
      </c>
      <c r="B109" s="7">
        <v>1</v>
      </c>
      <c r="C109" s="7">
        <v>1</v>
      </c>
      <c r="D109" s="7">
        <v>1</v>
      </c>
      <c r="E109" s="7">
        <v>1</v>
      </c>
      <c r="F109" s="7">
        <v>1</v>
      </c>
      <c r="G109" s="7">
        <v>1</v>
      </c>
      <c r="H109" s="7">
        <v>1</v>
      </c>
      <c r="I109" s="7">
        <v>1</v>
      </c>
      <c r="J109" s="7">
        <v>1</v>
      </c>
      <c r="K109" s="7">
        <v>1</v>
      </c>
      <c r="L109" s="7">
        <v>1</v>
      </c>
      <c r="M109" s="7">
        <v>1</v>
      </c>
      <c r="N109" s="7">
        <v>1</v>
      </c>
      <c r="O109" s="7">
        <v>1</v>
      </c>
      <c r="P109" s="7">
        <v>1</v>
      </c>
    </row>
    <row r="110" spans="1:16">
      <c r="A110" t="s">
        <v>75</v>
      </c>
      <c r="B110" s="5">
        <v>41495904.130000003</v>
      </c>
      <c r="C110" s="5">
        <v>41495902.789999999</v>
      </c>
      <c r="D110" s="5">
        <v>41495902.200000003</v>
      </c>
      <c r="E110" s="5">
        <v>41495909.039999999</v>
      </c>
      <c r="F110" s="5">
        <v>41495892.439999998</v>
      </c>
      <c r="G110" s="5">
        <v>41495915.789999999</v>
      </c>
      <c r="H110" s="5">
        <v>41495905.560000002</v>
      </c>
      <c r="I110" s="5">
        <v>41495896.490000002</v>
      </c>
      <c r="J110" s="5">
        <v>41495917.630000003</v>
      </c>
      <c r="K110" s="5">
        <v>41495891.939999998</v>
      </c>
      <c r="L110" s="5">
        <v>41495913.43</v>
      </c>
      <c r="M110" s="5">
        <v>41495927.859999999</v>
      </c>
      <c r="N110" s="5">
        <v>41495904.159999996</v>
      </c>
      <c r="O110" s="5">
        <v>41495909.600000001</v>
      </c>
      <c r="P110" s="5">
        <v>41495914.009999998</v>
      </c>
    </row>
    <row r="111" spans="1:16">
      <c r="A111" t="s">
        <v>76</v>
      </c>
      <c r="B111" s="5">
        <v>30.56</v>
      </c>
      <c r="C111" s="5">
        <v>31.9</v>
      </c>
      <c r="D111" s="5">
        <v>32.49</v>
      </c>
      <c r="E111" s="5">
        <v>21.52</v>
      </c>
      <c r="F111" s="5">
        <v>38.119999999999997</v>
      </c>
      <c r="G111" s="5">
        <v>18.899999999999999</v>
      </c>
      <c r="H111" s="5">
        <v>24.99</v>
      </c>
      <c r="I111" s="5">
        <v>34.07</v>
      </c>
      <c r="J111" s="5">
        <v>12.93</v>
      </c>
      <c r="K111" s="5">
        <v>38.619999999999997</v>
      </c>
      <c r="L111" s="5">
        <v>17.12</v>
      </c>
      <c r="M111" s="5">
        <v>2.7</v>
      </c>
      <c r="N111" s="5">
        <v>26.4</v>
      </c>
      <c r="O111" s="5">
        <v>20.95</v>
      </c>
      <c r="P111" s="5">
        <v>16.54</v>
      </c>
    </row>
    <row r="112" spans="1:16">
      <c r="A112" t="s">
        <v>126</v>
      </c>
    </row>
    <row r="113" spans="1:16">
      <c r="A113" t="s">
        <v>51</v>
      </c>
      <c r="B113">
        <v>0.17</v>
      </c>
      <c r="C113">
        <v>0.17</v>
      </c>
      <c r="D113">
        <v>0.17</v>
      </c>
      <c r="E113">
        <v>1.17</v>
      </c>
      <c r="F113">
        <v>1.17</v>
      </c>
      <c r="G113">
        <v>0.17</v>
      </c>
      <c r="H113">
        <v>1.17</v>
      </c>
      <c r="I113">
        <v>1.17</v>
      </c>
      <c r="J113">
        <v>1.17</v>
      </c>
      <c r="K113">
        <v>1.17</v>
      </c>
      <c r="L113">
        <v>1.17</v>
      </c>
      <c r="M113">
        <v>1.17</v>
      </c>
      <c r="N113">
        <v>1.17</v>
      </c>
      <c r="O113">
        <v>1.17</v>
      </c>
      <c r="P113">
        <v>1.17</v>
      </c>
    </row>
    <row r="114" spans="1:16">
      <c r="A114" t="s">
        <v>55</v>
      </c>
      <c r="B114">
        <v>0.17</v>
      </c>
      <c r="C114">
        <v>0.17</v>
      </c>
      <c r="D114">
        <v>0.17</v>
      </c>
      <c r="E114">
        <v>1.17</v>
      </c>
      <c r="F114">
        <v>1.17</v>
      </c>
      <c r="G114">
        <v>0.17</v>
      </c>
      <c r="H114">
        <v>1.17</v>
      </c>
      <c r="I114">
        <v>1.17</v>
      </c>
      <c r="J114">
        <v>1.17</v>
      </c>
      <c r="K114">
        <v>1.17</v>
      </c>
      <c r="L114">
        <v>1.17</v>
      </c>
      <c r="M114">
        <v>1.17</v>
      </c>
      <c r="N114">
        <v>1.17</v>
      </c>
      <c r="O114">
        <v>1.17</v>
      </c>
      <c r="P114">
        <v>1.17</v>
      </c>
    </row>
    <row r="115" spans="1:16">
      <c r="A115" t="s">
        <v>53</v>
      </c>
      <c r="B115">
        <v>0.17</v>
      </c>
      <c r="C115">
        <v>0.17</v>
      </c>
      <c r="D115">
        <v>0.17</v>
      </c>
      <c r="E115">
        <v>1.17</v>
      </c>
      <c r="F115">
        <v>1.17</v>
      </c>
      <c r="G115">
        <v>0.17</v>
      </c>
      <c r="H115">
        <v>1.17</v>
      </c>
      <c r="I115">
        <v>1.17</v>
      </c>
      <c r="J115">
        <v>1.17</v>
      </c>
      <c r="K115">
        <v>1.17</v>
      </c>
      <c r="L115">
        <v>1.17</v>
      </c>
      <c r="M115">
        <v>1.17</v>
      </c>
      <c r="N115">
        <v>1.17</v>
      </c>
      <c r="O115">
        <v>1.17</v>
      </c>
      <c r="P115">
        <v>1.17</v>
      </c>
    </row>
    <row r="116" spans="1:16">
      <c r="A116" t="s">
        <v>127</v>
      </c>
    </row>
    <row r="117" spans="1:16">
      <c r="A117" t="s">
        <v>51</v>
      </c>
      <c r="B117" s="7">
        <v>0</v>
      </c>
      <c r="C117" s="7">
        <v>0</v>
      </c>
      <c r="D117" s="7">
        <v>0</v>
      </c>
      <c r="E117" s="7">
        <v>0</v>
      </c>
      <c r="F117" s="7">
        <v>0</v>
      </c>
      <c r="G117" s="7">
        <v>0</v>
      </c>
      <c r="H117" s="7">
        <v>0</v>
      </c>
      <c r="I117" s="7">
        <v>0</v>
      </c>
      <c r="J117" s="7">
        <v>0</v>
      </c>
      <c r="K117" s="7">
        <v>0</v>
      </c>
      <c r="L117" s="7">
        <v>0</v>
      </c>
      <c r="M117" s="7">
        <v>0</v>
      </c>
      <c r="N117" s="7">
        <v>0</v>
      </c>
      <c r="O117" s="7">
        <v>0</v>
      </c>
      <c r="P117" s="7">
        <v>0</v>
      </c>
    </row>
    <row r="118" spans="1:16">
      <c r="A118" t="s">
        <v>55</v>
      </c>
      <c r="B118" s="7">
        <v>0</v>
      </c>
      <c r="C118" s="7">
        <v>1</v>
      </c>
      <c r="D118" s="7">
        <v>1</v>
      </c>
      <c r="E118" s="7">
        <v>1</v>
      </c>
      <c r="F118" s="7">
        <v>1</v>
      </c>
      <c r="G118" s="7">
        <v>1</v>
      </c>
      <c r="H118" s="7">
        <v>1</v>
      </c>
      <c r="I118" s="7">
        <v>1</v>
      </c>
      <c r="J118" s="7">
        <v>1</v>
      </c>
      <c r="K118" s="7">
        <v>1</v>
      </c>
      <c r="L118" s="7">
        <v>1</v>
      </c>
      <c r="M118" s="7">
        <v>1</v>
      </c>
      <c r="N118" s="7">
        <v>1</v>
      </c>
      <c r="O118" s="7">
        <v>1</v>
      </c>
      <c r="P118" s="7">
        <v>1</v>
      </c>
    </row>
    <row r="119" spans="1:16">
      <c r="A119" t="s">
        <v>53</v>
      </c>
      <c r="B119" s="7">
        <v>0</v>
      </c>
      <c r="C119" s="7">
        <v>0.14810000000000001</v>
      </c>
      <c r="D119" s="7">
        <v>0.20100000000000001</v>
      </c>
      <c r="E119" s="7">
        <v>0.20100000000000001</v>
      </c>
      <c r="F119" s="7">
        <v>0.35849999999999999</v>
      </c>
      <c r="G119" s="7">
        <v>0.26219999999999999</v>
      </c>
      <c r="H119" s="7">
        <v>0.26219999999999999</v>
      </c>
      <c r="I119" s="7">
        <v>0.40439999999999998</v>
      </c>
      <c r="J119" s="7">
        <v>0.4012</v>
      </c>
      <c r="K119" s="7">
        <v>0.53369999999999995</v>
      </c>
      <c r="L119" s="7">
        <v>0.74480000000000002</v>
      </c>
      <c r="M119" s="7">
        <v>0.74229999999999996</v>
      </c>
      <c r="N119" s="7">
        <v>0.76190000000000002</v>
      </c>
      <c r="O119" s="7">
        <v>0.72609999999999997</v>
      </c>
      <c r="P119" s="7">
        <v>0.77210000000000001</v>
      </c>
    </row>
    <row r="120" spans="1:16">
      <c r="A120" t="s">
        <v>128</v>
      </c>
      <c r="B120" s="7"/>
      <c r="C120" s="7"/>
      <c r="D120" s="7"/>
      <c r="E120" s="7"/>
      <c r="F120" s="7"/>
      <c r="G120" s="7"/>
      <c r="H120" s="7"/>
      <c r="I120" s="7"/>
      <c r="J120" s="7"/>
      <c r="K120" s="7"/>
      <c r="L120" s="7"/>
      <c r="M120" s="7"/>
      <c r="N120" s="7"/>
      <c r="O120" s="7"/>
      <c r="P120" s="7"/>
    </row>
    <row r="121" spans="1:16">
      <c r="A121" t="s">
        <v>129</v>
      </c>
      <c r="B121" s="7">
        <v>0</v>
      </c>
      <c r="C121" s="7">
        <v>0</v>
      </c>
      <c r="D121" s="7">
        <v>0</v>
      </c>
      <c r="E121" s="7">
        <v>0</v>
      </c>
      <c r="F121" s="7">
        <v>0</v>
      </c>
      <c r="G121" s="7">
        <v>0</v>
      </c>
      <c r="H121" s="7">
        <v>0</v>
      </c>
      <c r="I121" s="7">
        <v>0</v>
      </c>
      <c r="J121" s="7">
        <v>0</v>
      </c>
      <c r="K121" s="7">
        <v>0</v>
      </c>
      <c r="L121" s="7">
        <v>0</v>
      </c>
      <c r="M121" s="7">
        <v>0</v>
      </c>
      <c r="N121" s="7">
        <v>0</v>
      </c>
      <c r="O121" s="7">
        <v>0</v>
      </c>
      <c r="P121" s="7">
        <v>0</v>
      </c>
    </row>
    <row r="122" spans="1:16">
      <c r="A122" t="s">
        <v>130</v>
      </c>
      <c r="B122" s="7">
        <v>0</v>
      </c>
      <c r="C122" s="7">
        <v>0.50900000000000001</v>
      </c>
      <c r="D122" s="7">
        <v>0.50900000000000001</v>
      </c>
      <c r="E122" s="7">
        <v>0.50900000000000001</v>
      </c>
      <c r="F122" s="7">
        <v>4.2999999999999997E-2</v>
      </c>
      <c r="G122" s="7">
        <v>0.50900000000000001</v>
      </c>
      <c r="H122" s="7">
        <v>0.50900000000000001</v>
      </c>
      <c r="I122" s="7">
        <v>4.2599999999999999E-2</v>
      </c>
      <c r="J122" s="7">
        <v>5.5399999999999998E-2</v>
      </c>
      <c r="K122" s="7">
        <v>4.7699999999999999E-2</v>
      </c>
      <c r="L122" s="7">
        <v>4.1799999999999997E-2</v>
      </c>
      <c r="M122" s="7">
        <v>4.6399999999999997E-2</v>
      </c>
      <c r="N122" s="7">
        <v>3.7100000000000001E-2</v>
      </c>
      <c r="O122" s="7">
        <v>4.3499999999999997E-2</v>
      </c>
      <c r="P122" s="7">
        <v>4.6899999999999997E-2</v>
      </c>
    </row>
    <row r="123" spans="1:16">
      <c r="A123" t="s">
        <v>131</v>
      </c>
      <c r="B123" s="7">
        <v>0</v>
      </c>
      <c r="C123" s="7">
        <v>0.27610000000000001</v>
      </c>
      <c r="D123" s="7">
        <v>0.22620000000000001</v>
      </c>
      <c r="E123" s="7">
        <v>0.22620000000000001</v>
      </c>
      <c r="F123" s="7">
        <v>0.44400000000000001</v>
      </c>
      <c r="G123" s="7">
        <v>0.17130000000000001</v>
      </c>
      <c r="H123" s="7">
        <v>0.17130000000000001</v>
      </c>
      <c r="I123" s="7">
        <v>0.41920000000000002</v>
      </c>
      <c r="J123" s="7">
        <v>0.41099999999999998</v>
      </c>
      <c r="K123" s="7">
        <v>0.18490000000000001</v>
      </c>
      <c r="L123" s="7">
        <v>0.11799999999999999</v>
      </c>
      <c r="M123" s="7">
        <v>0.1172</v>
      </c>
      <c r="N123" s="7">
        <v>0.1104</v>
      </c>
      <c r="O123" s="7">
        <v>0.1138</v>
      </c>
      <c r="P123" s="7">
        <v>0.1</v>
      </c>
    </row>
    <row r="124" spans="1:16">
      <c r="A124" t="s">
        <v>132</v>
      </c>
      <c r="B124" s="7">
        <v>0</v>
      </c>
      <c r="C124" s="7">
        <v>9.6500000000000002E-2</v>
      </c>
      <c r="D124" s="7">
        <v>8.72E-2</v>
      </c>
      <c r="E124" s="7">
        <v>8.72E-2</v>
      </c>
      <c r="F124" s="7">
        <v>0.26669999999999999</v>
      </c>
      <c r="G124" s="7">
        <v>7.85E-2</v>
      </c>
      <c r="H124" s="7">
        <v>7.85E-2</v>
      </c>
      <c r="I124" s="7">
        <v>0.23569999999999999</v>
      </c>
      <c r="J124" s="7">
        <v>0.23200000000000001</v>
      </c>
      <c r="K124" s="7">
        <v>0.27089999999999997</v>
      </c>
      <c r="L124" s="7">
        <v>8.2000000000000003E-2</v>
      </c>
      <c r="M124" s="7">
        <v>8.0699999999999994E-2</v>
      </c>
      <c r="N124" s="7">
        <v>7.6600000000000001E-2</v>
      </c>
      <c r="O124" s="7">
        <v>9.0200000000000002E-2</v>
      </c>
      <c r="P124" s="7">
        <v>6.7699999999999996E-2</v>
      </c>
    </row>
    <row r="125" spans="1:16">
      <c r="A125" t="s">
        <v>133</v>
      </c>
      <c r="B125" s="7">
        <v>0</v>
      </c>
      <c r="C125" s="7">
        <v>6.3600000000000004E-2</v>
      </c>
      <c r="D125" s="7">
        <v>5.9200000000000003E-2</v>
      </c>
      <c r="E125" s="7">
        <v>5.9200000000000003E-2</v>
      </c>
      <c r="F125" s="7">
        <v>8.3199999999999996E-2</v>
      </c>
      <c r="G125" s="7">
        <v>4.9599999999999998E-2</v>
      </c>
      <c r="H125" s="7">
        <v>4.9599999999999998E-2</v>
      </c>
      <c r="I125" s="7">
        <v>7.4499999999999997E-2</v>
      </c>
      <c r="J125" s="7">
        <v>7.3999999999999996E-2</v>
      </c>
      <c r="K125" s="7">
        <v>0.1908</v>
      </c>
      <c r="L125" s="7">
        <v>0.1066</v>
      </c>
      <c r="M125" s="7">
        <v>0.10539999999999999</v>
      </c>
      <c r="N125" s="7">
        <v>0.1021</v>
      </c>
      <c r="O125" s="7">
        <v>0.13869999999999999</v>
      </c>
      <c r="P125" s="7">
        <v>9.1700000000000004E-2</v>
      </c>
    </row>
    <row r="126" spans="1:16">
      <c r="A126" t="s">
        <v>134</v>
      </c>
      <c r="B126" s="7">
        <v>0</v>
      </c>
      <c r="C126" s="7">
        <v>5.4800000000000001E-2</v>
      </c>
      <c r="D126" s="7">
        <v>0.11840000000000001</v>
      </c>
      <c r="E126" s="7">
        <v>0.11840000000000001</v>
      </c>
      <c r="F126" s="7">
        <v>0.16300000000000001</v>
      </c>
      <c r="G126" s="7">
        <v>0.19159999999999999</v>
      </c>
      <c r="H126" s="7">
        <v>0.19159999999999999</v>
      </c>
      <c r="I126" s="7">
        <v>0.2281</v>
      </c>
      <c r="J126" s="7">
        <v>0.2276</v>
      </c>
      <c r="K126" s="7">
        <v>0.30559999999999998</v>
      </c>
      <c r="L126" s="7">
        <v>0.65159999999999996</v>
      </c>
      <c r="M126" s="7">
        <v>0.65029999999999999</v>
      </c>
      <c r="N126" s="7">
        <v>0.67379999999999995</v>
      </c>
      <c r="O126" s="7">
        <v>0.61370000000000002</v>
      </c>
      <c r="P126" s="7">
        <v>0.69369999999999998</v>
      </c>
    </row>
    <row r="127" spans="1:16">
      <c r="A127" t="s">
        <v>135</v>
      </c>
      <c r="B127" s="7">
        <v>0</v>
      </c>
      <c r="C127" s="7">
        <v>0</v>
      </c>
      <c r="D127" s="7">
        <v>0</v>
      </c>
      <c r="E127" s="7">
        <v>0</v>
      </c>
      <c r="F127" s="7">
        <v>0</v>
      </c>
      <c r="G127" s="7">
        <v>0</v>
      </c>
      <c r="H127" s="7">
        <v>0</v>
      </c>
      <c r="I127" s="7">
        <v>0</v>
      </c>
      <c r="J127" s="7">
        <v>0</v>
      </c>
      <c r="K127" s="7">
        <v>0</v>
      </c>
      <c r="L127" s="7">
        <v>0</v>
      </c>
      <c r="M127" s="7">
        <v>0</v>
      </c>
      <c r="N127" s="7">
        <v>0</v>
      </c>
      <c r="O127" s="7">
        <v>0</v>
      </c>
      <c r="P127" s="7">
        <v>0</v>
      </c>
    </row>
    <row r="128" spans="1:16">
      <c r="A128" t="s">
        <v>136</v>
      </c>
      <c r="B128" s="7">
        <v>0</v>
      </c>
      <c r="C128" s="7">
        <v>0</v>
      </c>
      <c r="D128" s="7">
        <v>0</v>
      </c>
      <c r="E128" s="7">
        <v>0</v>
      </c>
      <c r="F128" s="7">
        <v>0</v>
      </c>
      <c r="G128" s="7">
        <v>0</v>
      </c>
      <c r="H128" s="7">
        <v>0</v>
      </c>
      <c r="I128" s="7">
        <v>0</v>
      </c>
      <c r="J128" s="7">
        <v>0</v>
      </c>
      <c r="K128" s="7">
        <v>0</v>
      </c>
      <c r="L128" s="7">
        <v>0</v>
      </c>
      <c r="M128" s="7">
        <v>0</v>
      </c>
      <c r="N128" s="7">
        <v>0</v>
      </c>
      <c r="O128" s="7">
        <v>0</v>
      </c>
      <c r="P128" s="7">
        <v>0</v>
      </c>
    </row>
    <row r="129" spans="1:16">
      <c r="A129" t="s">
        <v>137</v>
      </c>
      <c r="B129" s="7">
        <v>0</v>
      </c>
      <c r="C129" s="7">
        <v>0</v>
      </c>
      <c r="D129" s="7">
        <v>0</v>
      </c>
      <c r="E129" s="7">
        <v>0</v>
      </c>
      <c r="F129" s="7">
        <v>0</v>
      </c>
      <c r="G129" s="7">
        <v>0</v>
      </c>
      <c r="H129" s="7">
        <v>0</v>
      </c>
      <c r="I129" s="7">
        <v>0</v>
      </c>
      <c r="J129" s="7">
        <v>0</v>
      </c>
      <c r="K129" s="7">
        <v>0</v>
      </c>
      <c r="L129" s="7">
        <v>0</v>
      </c>
      <c r="M129" s="7">
        <v>0</v>
      </c>
      <c r="N129" s="7">
        <v>0</v>
      </c>
      <c r="O129" s="7">
        <v>0</v>
      </c>
      <c r="P129" s="7">
        <v>0</v>
      </c>
    </row>
    <row r="130" spans="1:16">
      <c r="A130" t="s">
        <v>138</v>
      </c>
      <c r="B130" s="7">
        <v>0</v>
      </c>
      <c r="C130" s="7">
        <v>0</v>
      </c>
      <c r="D130" s="7">
        <v>0</v>
      </c>
      <c r="E130" s="7">
        <v>0</v>
      </c>
      <c r="F130" s="7">
        <v>0</v>
      </c>
      <c r="G130" s="7">
        <v>0</v>
      </c>
      <c r="H130" s="7">
        <v>0</v>
      </c>
      <c r="I130" s="7">
        <v>0</v>
      </c>
      <c r="J130" s="7">
        <v>0</v>
      </c>
      <c r="K130" s="7">
        <v>0</v>
      </c>
      <c r="L130" s="7">
        <v>0</v>
      </c>
      <c r="M130" s="7">
        <v>0</v>
      </c>
      <c r="N130" s="7">
        <v>0</v>
      </c>
      <c r="O130" s="7">
        <v>0</v>
      </c>
      <c r="P130" s="7">
        <v>0</v>
      </c>
    </row>
    <row r="131" spans="1:16">
      <c r="A131" t="s">
        <v>139</v>
      </c>
      <c r="B131" s="7">
        <v>0</v>
      </c>
      <c r="C131" s="7">
        <v>0</v>
      </c>
      <c r="D131" s="7">
        <v>0</v>
      </c>
      <c r="E131" s="7">
        <v>0</v>
      </c>
      <c r="F131" s="7">
        <v>0</v>
      </c>
      <c r="G131" s="7">
        <v>0</v>
      </c>
      <c r="H131" s="7">
        <v>0</v>
      </c>
      <c r="I131" s="7">
        <v>0</v>
      </c>
      <c r="J131" s="7">
        <v>0</v>
      </c>
      <c r="K131" s="7">
        <v>0</v>
      </c>
      <c r="L131" s="7">
        <v>0</v>
      </c>
      <c r="M131" s="7">
        <v>0</v>
      </c>
      <c r="N131" s="7">
        <v>0</v>
      </c>
      <c r="O131" s="7">
        <v>0</v>
      </c>
      <c r="P131" s="7">
        <v>0</v>
      </c>
    </row>
    <row r="132" spans="1:16">
      <c r="A132" t="s">
        <v>140</v>
      </c>
      <c r="B132" s="7"/>
      <c r="C132" s="7"/>
      <c r="D132" s="7"/>
      <c r="E132" s="7"/>
      <c r="F132" s="7"/>
      <c r="G132" s="7"/>
      <c r="H132" s="7"/>
      <c r="I132" s="7"/>
      <c r="J132" s="7"/>
      <c r="K132" s="7"/>
      <c r="L132" s="7"/>
      <c r="M132" s="7"/>
      <c r="N132" s="7"/>
      <c r="O132" s="7"/>
      <c r="P132" s="7"/>
    </row>
    <row r="133" spans="1:16">
      <c r="A133" t="s">
        <v>51</v>
      </c>
      <c r="B133">
        <v>3087479.67</v>
      </c>
      <c r="C133">
        <v>2790964.56</v>
      </c>
      <c r="D133">
        <v>2664262.91</v>
      </c>
      <c r="E133">
        <v>2663719.5</v>
      </c>
      <c r="F133">
        <v>2233778.06</v>
      </c>
      <c r="G133">
        <v>2504280.17</v>
      </c>
      <c r="H133">
        <v>2502493.36</v>
      </c>
      <c r="I133">
        <v>2104093.77</v>
      </c>
      <c r="J133">
        <v>2113095.86</v>
      </c>
      <c r="K133">
        <v>1750692.15</v>
      </c>
      <c r="L133">
        <v>969335.36</v>
      </c>
      <c r="M133">
        <v>979424.46</v>
      </c>
      <c r="N133">
        <v>915986.95</v>
      </c>
      <c r="O133">
        <v>1072501.99</v>
      </c>
      <c r="P133">
        <v>887808.47</v>
      </c>
    </row>
    <row r="134" spans="1:16">
      <c r="A134" t="s">
        <v>55</v>
      </c>
      <c r="B134">
        <v>3087479.67</v>
      </c>
      <c r="C134">
        <v>2790964.56</v>
      </c>
      <c r="D134">
        <v>2664262.91</v>
      </c>
      <c r="E134">
        <v>2663719.5</v>
      </c>
      <c r="F134">
        <v>2233778.06</v>
      </c>
      <c r="G134">
        <v>2504280.17</v>
      </c>
      <c r="H134">
        <v>2502493.36</v>
      </c>
      <c r="I134">
        <v>2104093.77</v>
      </c>
      <c r="J134">
        <v>2113095.86</v>
      </c>
      <c r="K134">
        <v>1750692.15</v>
      </c>
      <c r="L134">
        <v>969335.36</v>
      </c>
      <c r="M134">
        <v>979424.46</v>
      </c>
      <c r="N134">
        <v>915986.95</v>
      </c>
      <c r="O134">
        <v>1072501.99</v>
      </c>
      <c r="P134">
        <v>887808.47</v>
      </c>
    </row>
    <row r="135" spans="1:16">
      <c r="A135" t="s">
        <v>53</v>
      </c>
      <c r="B135">
        <v>3087479.67</v>
      </c>
      <c r="C135">
        <v>2790964.56</v>
      </c>
      <c r="D135">
        <v>2664262.91</v>
      </c>
      <c r="E135">
        <v>2663719.5</v>
      </c>
      <c r="F135">
        <v>2233778.06</v>
      </c>
      <c r="G135">
        <v>2504280.17</v>
      </c>
      <c r="H135">
        <v>2502493.36</v>
      </c>
      <c r="I135">
        <v>2104093.77</v>
      </c>
      <c r="J135">
        <v>2113095.86</v>
      </c>
      <c r="K135">
        <v>1750692.15</v>
      </c>
      <c r="L135">
        <v>969335.36</v>
      </c>
      <c r="M135">
        <v>979424.46</v>
      </c>
      <c r="N135">
        <v>915986.95</v>
      </c>
      <c r="O135">
        <v>1072501.99</v>
      </c>
      <c r="P135">
        <v>887808.47</v>
      </c>
    </row>
    <row r="136" spans="1:16">
      <c r="A136" t="s">
        <v>141</v>
      </c>
    </row>
    <row r="137" spans="1:16">
      <c r="A137" t="s">
        <v>51</v>
      </c>
      <c r="B137" t="s">
        <v>142</v>
      </c>
      <c r="C137" t="s">
        <v>142</v>
      </c>
      <c r="D137" t="s">
        <v>142</v>
      </c>
      <c r="E137" t="s">
        <v>142</v>
      </c>
      <c r="F137" t="s">
        <v>142</v>
      </c>
      <c r="G137" t="s">
        <v>142</v>
      </c>
      <c r="H137" t="s">
        <v>142</v>
      </c>
      <c r="I137" t="s">
        <v>142</v>
      </c>
      <c r="J137" t="s">
        <v>142</v>
      </c>
      <c r="K137" t="s">
        <v>142</v>
      </c>
      <c r="L137" t="s">
        <v>142</v>
      </c>
      <c r="M137" t="s">
        <v>142</v>
      </c>
      <c r="N137" t="s">
        <v>142</v>
      </c>
      <c r="O137" t="s">
        <v>142</v>
      </c>
      <c r="P137" t="s">
        <v>142</v>
      </c>
    </row>
    <row r="138" spans="1:16">
      <c r="A138" t="s">
        <v>55</v>
      </c>
      <c r="B138" t="s">
        <v>142</v>
      </c>
      <c r="C138" t="s">
        <v>142</v>
      </c>
      <c r="D138" t="s">
        <v>142</v>
      </c>
      <c r="E138" t="s">
        <v>142</v>
      </c>
      <c r="F138" t="s">
        <v>142</v>
      </c>
      <c r="G138" t="s">
        <v>142</v>
      </c>
      <c r="H138" t="s">
        <v>142</v>
      </c>
      <c r="I138" t="s">
        <v>142</v>
      </c>
      <c r="J138" t="s">
        <v>142</v>
      </c>
      <c r="K138" t="s">
        <v>142</v>
      </c>
      <c r="L138" t="s">
        <v>142</v>
      </c>
      <c r="M138" t="s">
        <v>142</v>
      </c>
      <c r="N138" t="s">
        <v>142</v>
      </c>
      <c r="O138" t="s">
        <v>142</v>
      </c>
      <c r="P138" t="s">
        <v>142</v>
      </c>
    </row>
    <row r="139" spans="1:16">
      <c r="A139" t="s">
        <v>53</v>
      </c>
      <c r="B139" t="s">
        <v>142</v>
      </c>
      <c r="C139" t="s">
        <v>142</v>
      </c>
      <c r="D139" t="s">
        <v>142</v>
      </c>
      <c r="E139" t="s">
        <v>142</v>
      </c>
      <c r="F139" t="s">
        <v>142</v>
      </c>
      <c r="G139" t="s">
        <v>142</v>
      </c>
      <c r="H139" t="s">
        <v>142</v>
      </c>
      <c r="I139" t="s">
        <v>142</v>
      </c>
      <c r="J139" t="s">
        <v>142</v>
      </c>
      <c r="K139" t="s">
        <v>142</v>
      </c>
      <c r="L139" t="s">
        <v>142</v>
      </c>
      <c r="M139" t="s">
        <v>142</v>
      </c>
      <c r="N139" t="s">
        <v>142</v>
      </c>
      <c r="O139" t="s">
        <v>142</v>
      </c>
      <c r="P139" t="s">
        <v>142</v>
      </c>
    </row>
    <row r="140" spans="1:16">
      <c r="A140" t="s">
        <v>143</v>
      </c>
    </row>
    <row r="141" spans="1:16">
      <c r="A141" t="s">
        <v>51</v>
      </c>
      <c r="B141" s="9">
        <v>2.7900000000000001E-2</v>
      </c>
      <c r="C141" s="9">
        <v>0</v>
      </c>
      <c r="D141" s="9">
        <v>0</v>
      </c>
      <c r="E141" s="9">
        <v>0</v>
      </c>
      <c r="F141" s="9">
        <v>0</v>
      </c>
      <c r="G141" s="9">
        <v>0</v>
      </c>
      <c r="H141" s="9">
        <v>0</v>
      </c>
      <c r="I141" s="9">
        <v>0</v>
      </c>
      <c r="J141" s="9">
        <v>0</v>
      </c>
      <c r="K141" s="9">
        <v>0</v>
      </c>
      <c r="L141" s="9">
        <v>0</v>
      </c>
      <c r="M141" s="9">
        <v>0</v>
      </c>
      <c r="N141" s="9">
        <v>0</v>
      </c>
      <c r="O141" s="9">
        <v>0</v>
      </c>
      <c r="P141" s="9">
        <v>0</v>
      </c>
    </row>
    <row r="142" spans="1:16">
      <c r="A142" t="s">
        <v>55</v>
      </c>
      <c r="B142" s="7">
        <v>1</v>
      </c>
      <c r="C142" s="7">
        <v>1</v>
      </c>
      <c r="D142" s="7">
        <v>1</v>
      </c>
      <c r="E142" s="7">
        <v>1</v>
      </c>
      <c r="F142" s="7">
        <v>1</v>
      </c>
      <c r="G142" s="7">
        <v>1</v>
      </c>
      <c r="H142" s="7">
        <v>1</v>
      </c>
      <c r="I142" s="7">
        <v>1</v>
      </c>
      <c r="J142" s="7">
        <v>1</v>
      </c>
      <c r="K142" s="7">
        <v>1</v>
      </c>
      <c r="L142" s="7">
        <v>1</v>
      </c>
      <c r="M142" s="7">
        <v>1</v>
      </c>
      <c r="N142" s="7">
        <v>1</v>
      </c>
      <c r="O142" s="7">
        <v>1</v>
      </c>
      <c r="P142" s="7">
        <v>1</v>
      </c>
    </row>
    <row r="143" spans="1:16">
      <c r="A143" t="s">
        <v>53</v>
      </c>
      <c r="B143" s="9">
        <v>0.40189999999999998</v>
      </c>
      <c r="C143" s="9">
        <v>0.47539999999999999</v>
      </c>
      <c r="D143" s="9">
        <v>0.51060000000000005</v>
      </c>
      <c r="E143" s="9">
        <v>0.50990000000000002</v>
      </c>
      <c r="F143" s="9">
        <v>0.59430000000000005</v>
      </c>
      <c r="G143" s="9">
        <v>0.54710000000000003</v>
      </c>
      <c r="H143" s="9">
        <v>0.54669999999999996</v>
      </c>
      <c r="I143" s="9">
        <v>0.62109999999999999</v>
      </c>
      <c r="J143" s="9">
        <v>0.61929999999999996</v>
      </c>
      <c r="K143" s="9">
        <v>0.71120000000000005</v>
      </c>
      <c r="L143" s="9">
        <v>0.84570000000000001</v>
      </c>
      <c r="M143" s="9">
        <v>0.84430000000000005</v>
      </c>
      <c r="N143" s="9">
        <v>0.85389999999999999</v>
      </c>
      <c r="O143" s="9">
        <v>0.83120000000000005</v>
      </c>
      <c r="P143" s="9">
        <v>0.8599</v>
      </c>
    </row>
    <row r="144" spans="1:16">
      <c r="A144" t="s">
        <v>128</v>
      </c>
      <c r="B144" s="7"/>
      <c r="C144" s="7"/>
      <c r="D144" s="7"/>
      <c r="E144" s="7"/>
      <c r="F144" s="7"/>
      <c r="G144" s="7"/>
      <c r="H144" s="7"/>
      <c r="I144" s="7"/>
      <c r="J144" s="7"/>
      <c r="K144" s="7"/>
      <c r="L144" s="7"/>
      <c r="M144" s="7"/>
      <c r="N144" s="7"/>
      <c r="O144" s="7"/>
      <c r="P144" s="7"/>
    </row>
    <row r="145" spans="1:16">
      <c r="A145" t="s">
        <v>129</v>
      </c>
      <c r="B145" s="9">
        <v>0</v>
      </c>
      <c r="C145" s="9">
        <v>0</v>
      </c>
      <c r="D145" s="9">
        <v>0</v>
      </c>
      <c r="E145" s="9">
        <v>0</v>
      </c>
      <c r="F145" s="9">
        <v>0</v>
      </c>
      <c r="G145" s="9">
        <v>0</v>
      </c>
      <c r="H145" s="9">
        <v>0</v>
      </c>
      <c r="I145" s="9">
        <v>0</v>
      </c>
      <c r="J145" s="9">
        <v>0</v>
      </c>
      <c r="K145" s="9">
        <v>0</v>
      </c>
      <c r="L145" s="9">
        <v>0</v>
      </c>
      <c r="M145" s="9">
        <v>0</v>
      </c>
      <c r="N145" s="9">
        <v>0</v>
      </c>
      <c r="O145" s="9">
        <v>0</v>
      </c>
      <c r="P145" s="9">
        <v>0</v>
      </c>
    </row>
    <row r="146" spans="1:16">
      <c r="A146" t="s">
        <v>130</v>
      </c>
      <c r="B146" s="7">
        <v>0</v>
      </c>
      <c r="C146" s="7">
        <v>0</v>
      </c>
      <c r="D146" s="7">
        <v>0</v>
      </c>
      <c r="E146" s="7">
        <v>0</v>
      </c>
      <c r="F146" s="7">
        <v>0</v>
      </c>
      <c r="G146" s="7">
        <v>2.9999999999999997E-4</v>
      </c>
      <c r="H146" s="7">
        <v>1E-4</v>
      </c>
      <c r="I146" s="7">
        <v>1E-4</v>
      </c>
      <c r="J146" s="7">
        <v>2.0000000000000001E-4</v>
      </c>
      <c r="K146" s="7">
        <v>2.9999999999999997E-4</v>
      </c>
      <c r="L146" s="7">
        <v>1E-4</v>
      </c>
      <c r="M146" s="7">
        <v>2.0000000000000001E-4</v>
      </c>
      <c r="N146" s="7">
        <v>6.9999999999999999E-4</v>
      </c>
      <c r="O146" s="7">
        <v>5.9999999999999995E-4</v>
      </c>
      <c r="P146" s="7">
        <v>5.9999999999999995E-4</v>
      </c>
    </row>
    <row r="147" spans="1:16">
      <c r="A147" t="s">
        <v>144</v>
      </c>
      <c r="B147" s="7">
        <v>0</v>
      </c>
      <c r="C147" s="7">
        <v>0</v>
      </c>
      <c r="D147" s="7">
        <v>1E-4</v>
      </c>
      <c r="E147" s="7">
        <v>1E-4</v>
      </c>
      <c r="F147" s="7">
        <v>0</v>
      </c>
      <c r="G147" s="7">
        <v>0</v>
      </c>
      <c r="H147" s="7">
        <v>0</v>
      </c>
      <c r="I147" s="7">
        <v>0</v>
      </c>
      <c r="J147" s="7">
        <v>0</v>
      </c>
      <c r="K147" s="7">
        <v>0</v>
      </c>
      <c r="L147" s="7">
        <v>0</v>
      </c>
      <c r="M147" s="7">
        <v>0</v>
      </c>
      <c r="N147" s="7">
        <v>0</v>
      </c>
      <c r="O147" s="7">
        <v>0</v>
      </c>
      <c r="P147" s="7">
        <v>0</v>
      </c>
    </row>
    <row r="148" spans="1:16">
      <c r="A148" t="s">
        <v>145</v>
      </c>
      <c r="B148" s="7">
        <v>6.9999999999999999E-4</v>
      </c>
      <c r="C148" s="7">
        <v>8.9999999999999998E-4</v>
      </c>
      <c r="D148" s="7">
        <v>8.0000000000000004E-4</v>
      </c>
      <c r="E148" s="7">
        <v>8.0000000000000004E-4</v>
      </c>
      <c r="F148" s="7">
        <v>2.0000000000000001E-4</v>
      </c>
      <c r="G148" s="7">
        <v>6.9999999999999999E-4</v>
      </c>
      <c r="H148" s="7">
        <v>5.9999999999999995E-4</v>
      </c>
      <c r="I148" s="7">
        <v>2.0000000000000001E-4</v>
      </c>
      <c r="J148" s="7">
        <v>2.0000000000000001E-4</v>
      </c>
      <c r="K148" s="7">
        <v>1E-4</v>
      </c>
      <c r="L148" s="7">
        <v>1E-4</v>
      </c>
      <c r="M148" s="7">
        <v>1E-4</v>
      </c>
      <c r="N148" s="7">
        <v>1E-4</v>
      </c>
      <c r="O148" s="7">
        <v>1E-4</v>
      </c>
      <c r="P148" s="7">
        <v>1E-4</v>
      </c>
    </row>
    <row r="149" spans="1:16">
      <c r="A149" t="s">
        <v>146</v>
      </c>
      <c r="B149" s="9">
        <v>4.7000000000000002E-3</v>
      </c>
      <c r="C149" s="9">
        <v>4.7999999999999996E-3</v>
      </c>
      <c r="D149" s="9">
        <v>3.8999999999999998E-3</v>
      </c>
      <c r="E149" s="9">
        <v>3.8999999999999998E-3</v>
      </c>
      <c r="F149" s="9">
        <v>1E-3</v>
      </c>
      <c r="G149" s="9">
        <v>3.5000000000000001E-3</v>
      </c>
      <c r="H149" s="9">
        <v>3.3999999999999998E-3</v>
      </c>
      <c r="I149" s="9">
        <v>1E-3</v>
      </c>
      <c r="J149" s="9">
        <v>1.1000000000000001E-3</v>
      </c>
      <c r="K149" s="9">
        <v>6.9999999999999999E-4</v>
      </c>
      <c r="L149" s="9">
        <v>5.0000000000000001E-4</v>
      </c>
      <c r="M149" s="9">
        <v>5.0000000000000001E-4</v>
      </c>
      <c r="N149" s="9">
        <v>2.0000000000000001E-4</v>
      </c>
      <c r="O149" s="9">
        <v>2.9999999999999997E-4</v>
      </c>
      <c r="P149" s="9">
        <v>2.0000000000000001E-4</v>
      </c>
    </row>
    <row r="150" spans="1:16">
      <c r="A150" t="s">
        <v>147</v>
      </c>
      <c r="B150" s="9">
        <v>3.3700000000000001E-2</v>
      </c>
      <c r="C150" s="9">
        <v>2.8500000000000001E-2</v>
      </c>
      <c r="D150" s="9">
        <v>2.5399999999999999E-2</v>
      </c>
      <c r="E150" s="9">
        <v>2.5600000000000001E-2</v>
      </c>
      <c r="F150" s="9">
        <v>7.7999999999999996E-3</v>
      </c>
      <c r="G150" s="9">
        <v>2.3400000000000001E-2</v>
      </c>
      <c r="H150" s="9">
        <v>2.3599999999999999E-2</v>
      </c>
      <c r="I150" s="9">
        <v>7.7999999999999996E-3</v>
      </c>
      <c r="J150" s="9">
        <v>8.0999999999999996E-3</v>
      </c>
      <c r="K150" s="9">
        <v>4.1000000000000003E-3</v>
      </c>
      <c r="L150" s="9">
        <v>2E-3</v>
      </c>
      <c r="M150" s="9">
        <v>2.5000000000000001E-3</v>
      </c>
      <c r="N150" s="9">
        <v>1.9E-3</v>
      </c>
      <c r="O150" s="9">
        <v>2.3E-3</v>
      </c>
      <c r="P150" s="9">
        <v>2.0999999999999999E-3</v>
      </c>
    </row>
    <row r="151" spans="1:16">
      <c r="A151" s="8" t="s">
        <v>131</v>
      </c>
      <c r="B151" s="9">
        <v>6.9400000000000003E-2</v>
      </c>
      <c r="C151" s="9">
        <v>5.7200000000000001E-2</v>
      </c>
      <c r="D151" s="9">
        <v>4.9099999999999998E-2</v>
      </c>
      <c r="E151" s="9">
        <v>5.0200000000000002E-2</v>
      </c>
      <c r="F151" s="9">
        <v>1.67E-2</v>
      </c>
      <c r="G151" s="9">
        <v>4.6699999999999998E-2</v>
      </c>
      <c r="H151" s="9">
        <v>4.8300000000000003E-2</v>
      </c>
      <c r="I151" s="9">
        <v>1.7299999999999999E-2</v>
      </c>
      <c r="J151" s="9">
        <v>1.7999999999999999E-2</v>
      </c>
      <c r="K151" s="9">
        <v>1.06E-2</v>
      </c>
      <c r="L151" s="9">
        <v>6.4000000000000003E-3</v>
      </c>
      <c r="M151" s="9">
        <v>6.8999999999999999E-3</v>
      </c>
      <c r="N151" s="9">
        <v>6.7000000000000002E-3</v>
      </c>
      <c r="O151" s="9">
        <v>7.4999999999999997E-3</v>
      </c>
      <c r="P151" s="9">
        <v>7.3000000000000001E-3</v>
      </c>
    </row>
    <row r="152" spans="1:16">
      <c r="A152" t="s">
        <v>148</v>
      </c>
      <c r="B152" s="9">
        <v>9.9000000000000005E-2</v>
      </c>
      <c r="C152" s="9">
        <v>8.1199999999999994E-2</v>
      </c>
      <c r="D152" s="9">
        <v>7.2099999999999997E-2</v>
      </c>
      <c r="E152" s="9">
        <v>7.4099999999999999E-2</v>
      </c>
      <c r="F152" s="9">
        <v>2.9899999999999999E-2</v>
      </c>
      <c r="G152" s="9">
        <v>6.8699999999999997E-2</v>
      </c>
      <c r="H152" s="9">
        <v>7.0800000000000002E-2</v>
      </c>
      <c r="I152" s="9">
        <v>3.0300000000000001E-2</v>
      </c>
      <c r="J152" s="9">
        <v>3.1099999999999999E-2</v>
      </c>
      <c r="K152" s="9">
        <v>1.8800000000000001E-2</v>
      </c>
      <c r="L152" s="9">
        <v>1.2E-2</v>
      </c>
      <c r="M152" s="9">
        <v>1.2200000000000001E-2</v>
      </c>
      <c r="N152" s="9">
        <v>1.32E-2</v>
      </c>
      <c r="O152" s="9">
        <v>1.46E-2</v>
      </c>
      <c r="P152" s="9">
        <v>1.35E-2</v>
      </c>
    </row>
    <row r="153" spans="1:16">
      <c r="A153" t="s">
        <v>149</v>
      </c>
      <c r="B153" s="9">
        <v>0.24079999999999999</v>
      </c>
      <c r="C153" s="9">
        <v>0.20130000000000001</v>
      </c>
      <c r="D153" s="9">
        <v>0.19009999999999999</v>
      </c>
      <c r="E153" s="9">
        <v>0.1903</v>
      </c>
      <c r="F153" s="9">
        <v>0.11269999999999999</v>
      </c>
      <c r="G153" s="9">
        <v>0.18010000000000001</v>
      </c>
      <c r="H153" s="9">
        <v>0.18029999999999999</v>
      </c>
      <c r="I153" s="9">
        <v>0.109</v>
      </c>
      <c r="J153" s="9">
        <v>0.11169999999999999</v>
      </c>
      <c r="K153" s="9">
        <v>5.3400000000000003E-2</v>
      </c>
      <c r="L153" s="9">
        <v>3.6900000000000002E-2</v>
      </c>
      <c r="M153" s="9">
        <v>3.6799999999999999E-2</v>
      </c>
      <c r="N153" s="9">
        <v>3.8800000000000001E-2</v>
      </c>
      <c r="O153" s="9">
        <v>4.3299999999999998E-2</v>
      </c>
      <c r="P153" s="9">
        <v>3.9199999999999999E-2</v>
      </c>
    </row>
    <row r="154" spans="1:16">
      <c r="A154" t="s">
        <v>132</v>
      </c>
      <c r="B154" s="9">
        <v>0.35110000000000002</v>
      </c>
      <c r="C154" s="9">
        <v>0.25280000000000002</v>
      </c>
      <c r="D154" s="9">
        <v>0.24610000000000001</v>
      </c>
      <c r="E154" s="9">
        <v>0.24249999999999999</v>
      </c>
      <c r="F154" s="9">
        <v>0.21160000000000001</v>
      </c>
      <c r="G154" s="9">
        <v>0.22620000000000001</v>
      </c>
      <c r="H154" s="9">
        <v>0.22170000000000001</v>
      </c>
      <c r="I154" s="9">
        <v>0.19750000000000001</v>
      </c>
      <c r="J154" s="9">
        <v>0.1988</v>
      </c>
      <c r="K154" s="9">
        <v>9.01E-2</v>
      </c>
      <c r="L154" s="9">
        <v>5.5800000000000002E-2</v>
      </c>
      <c r="M154" s="9">
        <v>5.6800000000000003E-2</v>
      </c>
      <c r="N154" s="9">
        <v>4.7600000000000003E-2</v>
      </c>
      <c r="O154" s="9">
        <v>5.0500000000000003E-2</v>
      </c>
      <c r="P154" s="9">
        <v>4.7500000000000001E-2</v>
      </c>
    </row>
    <row r="155" spans="1:16">
      <c r="A155" t="s">
        <v>133</v>
      </c>
      <c r="B155" s="9">
        <v>0.2</v>
      </c>
      <c r="C155" s="9">
        <v>0.26879999999999998</v>
      </c>
      <c r="D155" s="9">
        <v>0.249</v>
      </c>
      <c r="E155" s="9">
        <v>0.24940000000000001</v>
      </c>
      <c r="F155" s="9">
        <v>0.3967</v>
      </c>
      <c r="G155" s="9">
        <v>0.22239999999999999</v>
      </c>
      <c r="H155" s="9">
        <v>0.223</v>
      </c>
      <c r="I155" s="9">
        <v>0.35639999999999999</v>
      </c>
      <c r="J155" s="9">
        <v>0.3513</v>
      </c>
      <c r="K155" s="9">
        <v>0.39979999999999999</v>
      </c>
      <c r="L155" s="9">
        <v>0.15559999999999999</v>
      </c>
      <c r="M155" s="9">
        <v>0.15540000000000001</v>
      </c>
      <c r="N155" s="9">
        <v>0.1419</v>
      </c>
      <c r="O155" s="9">
        <v>0.1678</v>
      </c>
      <c r="P155" s="9">
        <v>0.1295</v>
      </c>
    </row>
    <row r="156" spans="1:16">
      <c r="A156" t="s">
        <v>134</v>
      </c>
      <c r="B156" s="9">
        <v>4.0000000000000002E-4</v>
      </c>
      <c r="C156" s="9">
        <v>0.1045</v>
      </c>
      <c r="D156" s="9">
        <v>0.16339999999999999</v>
      </c>
      <c r="E156" s="9">
        <v>0.16320000000000001</v>
      </c>
      <c r="F156" s="9">
        <v>0.2233</v>
      </c>
      <c r="G156" s="9">
        <v>0.22789999999999999</v>
      </c>
      <c r="H156" s="9">
        <v>0.22819999999999999</v>
      </c>
      <c r="I156" s="9">
        <v>0.28039999999999998</v>
      </c>
      <c r="J156" s="9">
        <v>0.27950000000000003</v>
      </c>
      <c r="K156" s="9">
        <v>0.42220000000000002</v>
      </c>
      <c r="L156" s="9">
        <v>0.73060000000000003</v>
      </c>
      <c r="M156" s="9">
        <v>0.72850000000000004</v>
      </c>
      <c r="N156" s="9">
        <v>0.74880000000000002</v>
      </c>
      <c r="O156" s="9">
        <v>0.71309999999999996</v>
      </c>
      <c r="P156" s="9">
        <v>0.76</v>
      </c>
    </row>
    <row r="157" spans="1:16">
      <c r="A157" t="s">
        <v>139</v>
      </c>
      <c r="B157" s="9">
        <v>0</v>
      </c>
      <c r="C157" s="9">
        <v>0</v>
      </c>
      <c r="D157" s="9">
        <v>0</v>
      </c>
      <c r="E157" s="9">
        <v>0</v>
      </c>
      <c r="F157" s="9">
        <v>0</v>
      </c>
      <c r="G157" s="9">
        <v>0</v>
      </c>
      <c r="H157" s="9">
        <v>0</v>
      </c>
      <c r="I157" s="9">
        <v>0</v>
      </c>
      <c r="J157" s="9">
        <v>0</v>
      </c>
      <c r="K157" s="9">
        <v>0</v>
      </c>
      <c r="L157" s="9">
        <v>0</v>
      </c>
      <c r="M157" s="9">
        <v>0</v>
      </c>
      <c r="N157" s="9">
        <v>0</v>
      </c>
      <c r="O157" s="9">
        <v>0</v>
      </c>
      <c r="P157" s="9">
        <v>0</v>
      </c>
    </row>
    <row r="158" spans="1:16">
      <c r="B158" s="9"/>
      <c r="C158" s="9"/>
      <c r="D158" s="9"/>
      <c r="E158" s="9"/>
      <c r="F158" s="9"/>
      <c r="G158" s="9"/>
      <c r="H158" s="9"/>
      <c r="I158" s="9"/>
      <c r="J158" s="9"/>
      <c r="K158" s="9"/>
      <c r="L158" s="9"/>
      <c r="M158" s="9"/>
      <c r="N158" s="9"/>
      <c r="O158" s="9"/>
      <c r="P158" s="9"/>
    </row>
    <row r="159" spans="1:16">
      <c r="A159" s="14" t="s">
        <v>261</v>
      </c>
      <c r="B159" s="9"/>
      <c r="C159" s="9"/>
      <c r="D159" s="9"/>
      <c r="E159" s="9"/>
      <c r="F159" s="9"/>
      <c r="G159" s="9"/>
      <c r="H159" s="9"/>
      <c r="I159" s="9"/>
      <c r="J159" s="9"/>
      <c r="K159" s="9"/>
      <c r="L159" s="9"/>
      <c r="M159" s="9"/>
      <c r="N159" s="9"/>
      <c r="O159" s="9"/>
      <c r="P159" s="9"/>
    </row>
    <row r="160" spans="1:16">
      <c r="A160" t="s">
        <v>316</v>
      </c>
      <c r="B160" s="5">
        <f>B165/25</f>
        <v>3298.1487999999999</v>
      </c>
      <c r="C160" s="5">
        <f t="shared" ref="C160:P160" si="15">C165/25</f>
        <v>3694.8136</v>
      </c>
      <c r="D160" s="5">
        <f t="shared" si="15"/>
        <v>3597.4812000000002</v>
      </c>
      <c r="E160" s="5">
        <f t="shared" si="15"/>
        <v>3570.9748</v>
      </c>
      <c r="F160" s="5">
        <f t="shared" si="15"/>
        <v>2863.5947999999999</v>
      </c>
      <c r="G160" s="5">
        <f t="shared" si="15"/>
        <v>3496.7844</v>
      </c>
      <c r="H160" s="5">
        <f t="shared" si="15"/>
        <v>3377.0403999999999</v>
      </c>
      <c r="I160" s="5">
        <f t="shared" si="15"/>
        <v>2864.9371999999998</v>
      </c>
      <c r="J160" s="5">
        <f t="shared" si="15"/>
        <v>2847.5140000000001</v>
      </c>
      <c r="K160" s="5">
        <f t="shared" si="15"/>
        <v>2838.5084000000002</v>
      </c>
      <c r="L160" s="5">
        <f t="shared" si="15"/>
        <v>3003.6788000000001</v>
      </c>
      <c r="M160" s="5">
        <f t="shared" si="15"/>
        <v>3022.8779999999997</v>
      </c>
      <c r="N160" s="5">
        <f t="shared" si="15"/>
        <v>2844.5888</v>
      </c>
      <c r="O160" s="5">
        <f t="shared" si="15"/>
        <v>2870.3596000000002</v>
      </c>
      <c r="P160" s="5">
        <f t="shared" si="15"/>
        <v>2881.5412000000001</v>
      </c>
    </row>
    <row r="161" spans="1:16">
      <c r="A161" t="s">
        <v>317</v>
      </c>
      <c r="B161" s="5">
        <f t="shared" ref="B161:P161" si="16">B166/25</f>
        <v>7007.4183999999996</v>
      </c>
      <c r="C161" s="5">
        <f t="shared" si="16"/>
        <v>6113.3472000000002</v>
      </c>
      <c r="D161" s="5">
        <f t="shared" si="16"/>
        <v>6123.7860000000001</v>
      </c>
      <c r="E161" s="5">
        <f t="shared" si="16"/>
        <v>6044.3683999999994</v>
      </c>
      <c r="F161" s="5">
        <f t="shared" si="16"/>
        <v>5290.6780000000008</v>
      </c>
      <c r="G161" s="5">
        <f t="shared" si="16"/>
        <v>6300.4564</v>
      </c>
      <c r="H161" s="5">
        <f t="shared" si="16"/>
        <v>6168.7219999999998</v>
      </c>
      <c r="I161" s="5">
        <f t="shared" si="16"/>
        <v>5174.8396000000002</v>
      </c>
      <c r="J161" s="5">
        <f t="shared" si="16"/>
        <v>5333.4507999999996</v>
      </c>
      <c r="K161" s="5">
        <f t="shared" si="16"/>
        <v>4671.0544</v>
      </c>
      <c r="L161" s="5">
        <f t="shared" si="16"/>
        <v>4690.9540000000006</v>
      </c>
      <c r="M161" s="5">
        <f t="shared" si="16"/>
        <v>4745.5727999999999</v>
      </c>
      <c r="N161" s="5">
        <f t="shared" si="16"/>
        <v>4480.9828000000007</v>
      </c>
      <c r="O161" s="5">
        <f t="shared" si="16"/>
        <v>4469.4920000000002</v>
      </c>
      <c r="P161" s="5">
        <f t="shared" si="16"/>
        <v>4417.2879999999996</v>
      </c>
    </row>
    <row r="162" spans="1:16">
      <c r="A162" t="s">
        <v>318</v>
      </c>
      <c r="B162" s="5">
        <f t="shared" ref="B162:P162" si="17">B167/25</f>
        <v>860.02359999999999</v>
      </c>
      <c r="C162" s="5">
        <f t="shared" si="17"/>
        <v>1087.1780000000001</v>
      </c>
      <c r="D162" s="5">
        <f t="shared" si="17"/>
        <v>974.16359999999997</v>
      </c>
      <c r="E162" s="5">
        <f t="shared" si="17"/>
        <v>994.22280000000001</v>
      </c>
      <c r="F162" s="5">
        <f t="shared" si="17"/>
        <v>1418.1343999999999</v>
      </c>
      <c r="G162" s="5">
        <f t="shared" si="17"/>
        <v>880.35919999999999</v>
      </c>
      <c r="H162" s="5">
        <f t="shared" si="17"/>
        <v>1218.6596</v>
      </c>
      <c r="I162" s="5">
        <f t="shared" si="17"/>
        <v>1509.8768</v>
      </c>
      <c r="J162" s="5">
        <f t="shared" si="17"/>
        <v>1433.7012</v>
      </c>
      <c r="K162" s="5">
        <f t="shared" si="17"/>
        <v>1922.0816</v>
      </c>
      <c r="L162" s="5">
        <f t="shared" si="17"/>
        <v>1926.4495999999999</v>
      </c>
      <c r="M162" s="5">
        <f t="shared" si="17"/>
        <v>1827.662</v>
      </c>
      <c r="N162" s="5">
        <f t="shared" si="17"/>
        <v>2148.33</v>
      </c>
      <c r="O162" s="5">
        <f t="shared" si="17"/>
        <v>2143.9760000000001</v>
      </c>
      <c r="P162" s="5">
        <f t="shared" si="17"/>
        <v>2167.3307999999997</v>
      </c>
    </row>
    <row r="163" spans="1:16">
      <c r="A163" t="s">
        <v>319</v>
      </c>
      <c r="B163" s="5">
        <f t="shared" ref="B163:P163" si="18">B168/25</f>
        <v>25.430399999999999</v>
      </c>
      <c r="C163" s="5">
        <f t="shared" si="18"/>
        <v>40.840400000000002</v>
      </c>
      <c r="D163" s="5">
        <f t="shared" si="18"/>
        <v>17.125999999999998</v>
      </c>
      <c r="E163" s="5">
        <f t="shared" si="18"/>
        <v>18.599599999999999</v>
      </c>
      <c r="F163" s="5">
        <f t="shared" si="18"/>
        <v>31.595600000000001</v>
      </c>
      <c r="G163" s="5">
        <f t="shared" si="18"/>
        <v>4.3879999999999999</v>
      </c>
      <c r="H163" s="5">
        <f t="shared" si="18"/>
        <v>13.5604</v>
      </c>
      <c r="I163" s="5">
        <f t="shared" si="18"/>
        <v>6.8860000000000001</v>
      </c>
      <c r="J163" s="5">
        <f t="shared" si="18"/>
        <v>20.808400000000002</v>
      </c>
      <c r="K163" s="5">
        <f t="shared" si="18"/>
        <v>269.36759999999998</v>
      </c>
      <c r="L163" s="5">
        <f t="shared" si="18"/>
        <v>214.35159999999999</v>
      </c>
      <c r="M163" s="5">
        <f t="shared" si="18"/>
        <v>254.25880000000001</v>
      </c>
      <c r="N163" s="5">
        <f t="shared" si="18"/>
        <v>269.14839999999998</v>
      </c>
      <c r="O163" s="5">
        <f t="shared" si="18"/>
        <v>272.86599999999999</v>
      </c>
      <c r="P163" s="5">
        <f t="shared" si="18"/>
        <v>275.37959999999998</v>
      </c>
    </row>
    <row r="164" spans="1:16">
      <c r="A164" t="s">
        <v>266</v>
      </c>
      <c r="B164" s="5">
        <f t="shared" ref="B164:P164" si="19">B169/25</f>
        <v>11191.021200000001</v>
      </c>
      <c r="C164" s="5">
        <f t="shared" si="19"/>
        <v>10936.179199999999</v>
      </c>
      <c r="D164" s="5">
        <f t="shared" si="19"/>
        <v>10712.556800000002</v>
      </c>
      <c r="E164" s="5">
        <f t="shared" si="19"/>
        <v>10628.165599999998</v>
      </c>
      <c r="F164" s="5">
        <f t="shared" si="19"/>
        <v>9604.0028000000002</v>
      </c>
      <c r="G164" s="5">
        <f t="shared" si="19"/>
        <v>10681.988000000001</v>
      </c>
      <c r="H164" s="5">
        <f t="shared" si="19"/>
        <v>10777.982400000001</v>
      </c>
      <c r="I164" s="5">
        <f t="shared" si="19"/>
        <v>9556.5395999999982</v>
      </c>
      <c r="J164" s="5">
        <f t="shared" si="19"/>
        <v>9635.4743999999992</v>
      </c>
      <c r="K164" s="5">
        <f t="shared" si="19"/>
        <v>9701.0120000000006</v>
      </c>
      <c r="L164" s="5">
        <f t="shared" si="19"/>
        <v>9835.4340000000011</v>
      </c>
      <c r="M164" s="5">
        <f t="shared" si="19"/>
        <v>9850.3716000000004</v>
      </c>
      <c r="N164" s="5">
        <f t="shared" si="19"/>
        <v>9743.0499999999993</v>
      </c>
      <c r="O164" s="5">
        <f t="shared" si="19"/>
        <v>9756.6936000000005</v>
      </c>
      <c r="P164" s="5">
        <f t="shared" si="19"/>
        <v>9741.5395999999982</v>
      </c>
    </row>
    <row r="165" spans="1:16">
      <c r="A165" t="s">
        <v>262</v>
      </c>
      <c r="B165" s="5">
        <v>82453.72</v>
      </c>
      <c r="C165" s="5">
        <v>92370.34</v>
      </c>
      <c r="D165" s="5">
        <v>89937.03</v>
      </c>
      <c r="E165" s="5">
        <v>89274.37</v>
      </c>
      <c r="F165" s="5">
        <v>71589.87</v>
      </c>
      <c r="G165" s="5">
        <v>87419.61</v>
      </c>
      <c r="H165" s="5">
        <v>84426.01</v>
      </c>
      <c r="I165" s="5">
        <v>71623.429999999993</v>
      </c>
      <c r="J165" s="5">
        <v>71187.850000000006</v>
      </c>
      <c r="K165" s="5">
        <v>70962.710000000006</v>
      </c>
      <c r="L165" s="5">
        <v>75091.97</v>
      </c>
      <c r="M165" s="5">
        <v>75571.95</v>
      </c>
      <c r="N165" s="5">
        <v>71114.720000000001</v>
      </c>
      <c r="O165" s="5">
        <v>71758.990000000005</v>
      </c>
      <c r="P165" s="5">
        <v>72038.53</v>
      </c>
    </row>
    <row r="166" spans="1:16">
      <c r="A166" t="s">
        <v>263</v>
      </c>
      <c r="B166" s="5">
        <v>175185.46</v>
      </c>
      <c r="C166" s="5">
        <v>152833.68</v>
      </c>
      <c r="D166" s="5">
        <v>153094.65</v>
      </c>
      <c r="E166" s="5">
        <v>151109.21</v>
      </c>
      <c r="F166" s="5">
        <v>132266.95000000001</v>
      </c>
      <c r="G166" s="5">
        <v>157511.41</v>
      </c>
      <c r="H166" s="5">
        <v>154218.04999999999</v>
      </c>
      <c r="I166" s="5">
        <v>129370.99</v>
      </c>
      <c r="J166" s="5">
        <v>133336.26999999999</v>
      </c>
      <c r="K166" s="5">
        <v>116776.36</v>
      </c>
      <c r="L166" s="5">
        <v>117273.85</v>
      </c>
      <c r="M166" s="5">
        <v>118639.32</v>
      </c>
      <c r="N166" s="5">
        <v>112024.57</v>
      </c>
      <c r="O166" s="5">
        <v>111737.3</v>
      </c>
      <c r="P166" s="5">
        <v>110432.2</v>
      </c>
    </row>
    <row r="167" spans="1:16">
      <c r="A167" t="s">
        <v>264</v>
      </c>
      <c r="B167" s="5">
        <v>21500.59</v>
      </c>
      <c r="C167" s="5">
        <v>27179.45</v>
      </c>
      <c r="D167" s="5">
        <v>24354.09</v>
      </c>
      <c r="E167" s="5">
        <v>24855.57</v>
      </c>
      <c r="F167" s="5">
        <v>35453.360000000001</v>
      </c>
      <c r="G167" s="5">
        <v>22008.98</v>
      </c>
      <c r="H167" s="5">
        <v>30466.49</v>
      </c>
      <c r="I167" s="5">
        <v>37746.92</v>
      </c>
      <c r="J167" s="5">
        <v>35842.53</v>
      </c>
      <c r="K167" s="5">
        <v>48052.04</v>
      </c>
      <c r="L167" s="5">
        <v>48161.24</v>
      </c>
      <c r="M167" s="5">
        <v>45691.55</v>
      </c>
      <c r="N167" s="5">
        <v>53708.25</v>
      </c>
      <c r="O167" s="5">
        <v>53599.4</v>
      </c>
      <c r="P167" s="5">
        <v>54183.27</v>
      </c>
    </row>
    <row r="168" spans="1:16">
      <c r="A168" t="s">
        <v>265</v>
      </c>
      <c r="B168" s="5">
        <v>635.76</v>
      </c>
      <c r="C168" s="5">
        <v>1021.01</v>
      </c>
      <c r="D168" s="5">
        <v>428.15</v>
      </c>
      <c r="E168" s="5">
        <v>464.99</v>
      </c>
      <c r="F168" s="5">
        <v>789.89</v>
      </c>
      <c r="G168" s="5">
        <v>109.7</v>
      </c>
      <c r="H168" s="5">
        <v>339.01</v>
      </c>
      <c r="I168" s="5">
        <v>172.15</v>
      </c>
      <c r="J168" s="5">
        <v>520.21</v>
      </c>
      <c r="K168" s="5">
        <v>6734.19</v>
      </c>
      <c r="L168" s="5">
        <v>5358.79</v>
      </c>
      <c r="M168" s="5">
        <v>6356.47</v>
      </c>
      <c r="N168" s="5">
        <v>6728.71</v>
      </c>
      <c r="O168" s="5">
        <v>6821.65</v>
      </c>
      <c r="P168" s="5">
        <v>6884.49</v>
      </c>
    </row>
    <row r="169" spans="1:16">
      <c r="A169" t="s">
        <v>266</v>
      </c>
      <c r="B169" s="5">
        <f>SUM(B165:B168)</f>
        <v>279775.53000000003</v>
      </c>
      <c r="C169" s="5">
        <f t="shared" ref="C169:P169" si="20">SUM(C165:C168)</f>
        <v>273404.48</v>
      </c>
      <c r="D169" s="5">
        <f t="shared" si="20"/>
        <v>267813.92000000004</v>
      </c>
      <c r="E169" s="5">
        <f t="shared" si="20"/>
        <v>265704.13999999996</v>
      </c>
      <c r="F169" s="5">
        <f t="shared" si="20"/>
        <v>240100.07</v>
      </c>
      <c r="G169" s="5">
        <f t="shared" si="20"/>
        <v>267049.7</v>
      </c>
      <c r="H169" s="5">
        <f t="shared" si="20"/>
        <v>269449.56</v>
      </c>
      <c r="I169" s="5">
        <f t="shared" si="20"/>
        <v>238913.48999999996</v>
      </c>
      <c r="J169" s="5">
        <f t="shared" si="20"/>
        <v>240886.86</v>
      </c>
      <c r="K169" s="5">
        <f t="shared" si="20"/>
        <v>242525.30000000002</v>
      </c>
      <c r="L169" s="5">
        <f t="shared" si="20"/>
        <v>245885.85</v>
      </c>
      <c r="M169" s="5">
        <f t="shared" si="20"/>
        <v>246259.29</v>
      </c>
      <c r="N169" s="5">
        <f t="shared" si="20"/>
        <v>243576.25</v>
      </c>
      <c r="O169" s="5">
        <f t="shared" si="20"/>
        <v>243917.34</v>
      </c>
      <c r="P169" s="5">
        <f t="shared" si="20"/>
        <v>243538.48999999996</v>
      </c>
    </row>
    <row r="170" spans="1:16">
      <c r="B170" s="7"/>
      <c r="C170" s="7"/>
      <c r="D170" s="7"/>
      <c r="E170" s="7"/>
      <c r="F170" s="7"/>
      <c r="G170" s="7"/>
      <c r="H170" s="7"/>
      <c r="I170" s="7"/>
      <c r="J170" s="7"/>
      <c r="K170" s="7"/>
      <c r="L170" s="7"/>
      <c r="M170" s="7"/>
      <c r="N170" s="7"/>
      <c r="O170" s="7"/>
      <c r="P170" s="7"/>
    </row>
    <row r="171" spans="1:16">
      <c r="A171" s="14" t="s">
        <v>155</v>
      </c>
    </row>
    <row r="172" spans="1:16">
      <c r="A172" t="s">
        <v>160</v>
      </c>
      <c r="B172">
        <f>Assumptions!B2</f>
        <v>25</v>
      </c>
    </row>
    <row r="173" spans="1:16">
      <c r="A173" t="s">
        <v>2</v>
      </c>
      <c r="B173" s="3">
        <f>Assumptions!B3</f>
        <v>0.03</v>
      </c>
      <c r="C173" s="7"/>
      <c r="D173" s="7"/>
      <c r="E173" s="7"/>
      <c r="F173" s="7"/>
      <c r="G173" s="7"/>
      <c r="H173" s="7"/>
      <c r="I173" s="7"/>
      <c r="J173" s="7"/>
      <c r="K173" s="7"/>
      <c r="L173" s="7"/>
      <c r="M173" s="7"/>
      <c r="N173" s="7"/>
      <c r="O173" s="7"/>
      <c r="P173" s="7"/>
    </row>
    <row r="174" spans="1:16">
      <c r="A174" t="s">
        <v>154</v>
      </c>
      <c r="B174" s="9">
        <f>Assumptions!B4</f>
        <v>0.01</v>
      </c>
      <c r="C174" s="7"/>
      <c r="D174" s="7"/>
      <c r="E174" s="7"/>
      <c r="F174" s="7"/>
      <c r="G174" s="7"/>
      <c r="H174" s="7"/>
      <c r="I174" s="7"/>
      <c r="J174" s="7"/>
      <c r="K174" s="7"/>
      <c r="L174" s="7"/>
      <c r="M174" s="7"/>
      <c r="N174" s="7"/>
      <c r="O174" s="7"/>
      <c r="P174" s="7"/>
    </row>
    <row r="175" spans="1:16">
      <c r="A175" t="s">
        <v>162</v>
      </c>
      <c r="B175">
        <f>Assumptions!B5</f>
        <v>1</v>
      </c>
      <c r="C175" s="9"/>
      <c r="D175" s="9"/>
      <c r="E175" s="9"/>
      <c r="F175" s="9"/>
      <c r="G175" s="9"/>
      <c r="H175" s="9"/>
      <c r="I175" s="9"/>
      <c r="J175" s="9"/>
      <c r="K175" s="9"/>
      <c r="L175" s="9"/>
      <c r="M175" s="9"/>
      <c r="N175" s="9"/>
      <c r="O175" s="9"/>
      <c r="P175" s="9"/>
    </row>
    <row r="176" spans="1:16">
      <c r="A176" t="s">
        <v>99</v>
      </c>
      <c r="B176" s="4">
        <f>Assumptions!B6</f>
        <v>7.99</v>
      </c>
      <c r="C176" s="15"/>
      <c r="D176" s="15"/>
      <c r="E176" s="15"/>
      <c r="F176" s="15"/>
      <c r="G176" s="15"/>
      <c r="H176" s="15"/>
      <c r="I176" s="15"/>
      <c r="J176" s="15"/>
      <c r="K176" s="15"/>
      <c r="L176" s="15"/>
      <c r="M176" s="15"/>
      <c r="N176" s="15"/>
      <c r="O176" s="15"/>
      <c r="P176" s="15"/>
    </row>
    <row r="177" spans="1:16">
      <c r="A177" t="s">
        <v>98</v>
      </c>
      <c r="B177" s="4">
        <f>Assumptions!B7</f>
        <v>7.163333333333334</v>
      </c>
      <c r="C177" s="15"/>
      <c r="D177" s="15"/>
      <c r="E177" s="15"/>
      <c r="F177" s="15"/>
      <c r="G177" s="15"/>
      <c r="H177" s="15"/>
      <c r="I177" s="15"/>
      <c r="J177" s="15"/>
      <c r="K177" s="15"/>
      <c r="L177" s="15"/>
      <c r="M177" s="15"/>
      <c r="N177" s="15"/>
      <c r="O177" s="15"/>
      <c r="P177" s="15"/>
    </row>
    <row r="178" spans="1:16">
      <c r="A178" t="s">
        <v>102</v>
      </c>
      <c r="B178">
        <v>134000</v>
      </c>
    </row>
    <row r="179" spans="1:16">
      <c r="A179" t="s">
        <v>103</v>
      </c>
      <c r="B179">
        <v>2.93071E-4</v>
      </c>
    </row>
    <row r="180" spans="1:16">
      <c r="A180" t="s">
        <v>228</v>
      </c>
      <c r="B180">
        <f>Assumptions!B10</f>
        <v>186075.58976888133</v>
      </c>
    </row>
    <row r="181" spans="1:16">
      <c r="A181" t="s">
        <v>285</v>
      </c>
      <c r="B181" s="11">
        <f>Assumptions!B11</f>
        <v>-2655676.2110055005</v>
      </c>
    </row>
    <row r="182" spans="1:16">
      <c r="A182" t="s">
        <v>235</v>
      </c>
      <c r="B182" s="11">
        <f>Assumptions!B12</f>
        <v>-13815874.877344536</v>
      </c>
    </row>
    <row r="183" spans="1:16">
      <c r="A183" t="s">
        <v>234</v>
      </c>
      <c r="B183" s="11">
        <f>Assumptions!B13</f>
        <v>-6752037.5898857638</v>
      </c>
    </row>
    <row r="184" spans="1:16">
      <c r="A184" t="s">
        <v>229</v>
      </c>
      <c r="B184" s="11">
        <f>Assumptions!B14</f>
        <v>21141875662.789482</v>
      </c>
    </row>
    <row r="185" spans="1:16">
      <c r="B185" s="39"/>
      <c r="C185" s="39"/>
      <c r="D185" s="9"/>
      <c r="E185" s="9"/>
      <c r="F185" s="9"/>
      <c r="G185" s="9"/>
      <c r="H185" s="9"/>
      <c r="I185" s="9"/>
      <c r="J185" s="9"/>
      <c r="K185" s="9"/>
      <c r="L185" s="9"/>
      <c r="M185" s="9"/>
      <c r="N185" s="9"/>
      <c r="O185" s="9"/>
      <c r="P185" s="9"/>
    </row>
    <row r="186" spans="1:16">
      <c r="A186" t="s">
        <v>215</v>
      </c>
      <c r="B186" s="39">
        <f>Assumptions!B16</f>
        <v>0.14929999999999999</v>
      </c>
      <c r="D186" s="7"/>
      <c r="E186" s="7"/>
      <c r="F186" s="7"/>
      <c r="G186" s="7"/>
      <c r="H186" s="7"/>
      <c r="I186" s="7"/>
      <c r="J186" s="7"/>
      <c r="K186" s="7"/>
      <c r="L186" s="7"/>
      <c r="M186" s="7"/>
      <c r="N186" s="7"/>
      <c r="O186" s="7"/>
      <c r="P186" s="7"/>
    </row>
    <row r="187" spans="1:16">
      <c r="A187" t="s">
        <v>215</v>
      </c>
      <c r="B187" s="39">
        <f>Assumptions!B17</f>
        <v>-0.90090000000000003</v>
      </c>
    </row>
    <row r="188" spans="1:16">
      <c r="A188" t="s">
        <v>215</v>
      </c>
      <c r="B188" s="39">
        <f>Assumptions!B18</f>
        <v>16.515000000000001</v>
      </c>
    </row>
    <row r="189" spans="1:16">
      <c r="B189" s="39"/>
      <c r="C189" s="39"/>
    </row>
    <row r="190" spans="1:16">
      <c r="A190" t="s">
        <v>216</v>
      </c>
      <c r="B190" s="39">
        <f>Assumptions!B20</f>
        <v>0.1123</v>
      </c>
      <c r="C190" s="39"/>
    </row>
    <row r="191" spans="1:16">
      <c r="A191" t="s">
        <v>216</v>
      </c>
      <c r="B191" s="39">
        <f>Assumptions!B21</f>
        <v>-0.6774</v>
      </c>
      <c r="C191" s="39"/>
    </row>
    <row r="192" spans="1:16">
      <c r="A192" t="s">
        <v>216</v>
      </c>
      <c r="B192" s="39">
        <f>Assumptions!B22</f>
        <v>12.417999999999999</v>
      </c>
      <c r="C192" s="39"/>
    </row>
    <row r="193" spans="1:3">
      <c r="B193" s="39"/>
      <c r="C193" s="39"/>
    </row>
    <row r="194" spans="1:3">
      <c r="A194" t="s">
        <v>217</v>
      </c>
      <c r="B194" s="5">
        <f>Assumptions!B24</f>
        <v>1747196.0752000001</v>
      </c>
      <c r="C194" s="39"/>
    </row>
    <row r="195" spans="1:3">
      <c r="A195" t="s">
        <v>223</v>
      </c>
      <c r="B195" s="5">
        <f>Assumptions!B25</f>
        <v>2813162.6651999997</v>
      </c>
    </row>
    <row r="197" spans="1:3">
      <c r="A197" t="s">
        <v>283</v>
      </c>
      <c r="B197" s="5">
        <f>B105/25</f>
        <v>1659836.1652000002</v>
      </c>
    </row>
    <row r="198" spans="1:3">
      <c r="A198" t="s">
        <v>284</v>
      </c>
      <c r="B198" s="5">
        <f>(B36+B35)/25</f>
        <v>2109871.96</v>
      </c>
    </row>
    <row r="199" spans="1:3">
      <c r="B199" s="5"/>
    </row>
    <row r="200" spans="1:3">
      <c r="A200" t="s">
        <v>267</v>
      </c>
      <c r="B200">
        <v>80000</v>
      </c>
    </row>
    <row r="201" spans="1:3">
      <c r="A201" t="s">
        <v>272</v>
      </c>
      <c r="B201">
        <v>410.53</v>
      </c>
    </row>
    <row r="202" spans="1:3">
      <c r="A202" t="s">
        <v>273</v>
      </c>
      <c r="B202">
        <v>105.26</v>
      </c>
    </row>
    <row r="204" spans="1:3">
      <c r="A204" t="s">
        <v>271</v>
      </c>
      <c r="B204" s="11">
        <v>15.780750000000001</v>
      </c>
    </row>
    <row r="205" spans="1:3">
      <c r="A205" t="s">
        <v>270</v>
      </c>
      <c r="B205" s="11">
        <v>16.452750000000002</v>
      </c>
    </row>
    <row r="206" spans="1:3">
      <c r="A206" t="s">
        <v>268</v>
      </c>
      <c r="B206" s="11">
        <v>16.758750000000003</v>
      </c>
    </row>
    <row r="207" spans="1:3">
      <c r="A207" t="s">
        <v>269</v>
      </c>
      <c r="B207" s="11">
        <v>17.142244565217393</v>
      </c>
    </row>
    <row r="208" spans="1:3">
      <c r="B208" s="11"/>
    </row>
    <row r="209" spans="1:22">
      <c r="A209" t="s">
        <v>335</v>
      </c>
      <c r="B209" s="11">
        <f>Assumptions!B36</f>
        <v>560000</v>
      </c>
    </row>
    <row r="210" spans="1:22">
      <c r="A210" t="s">
        <v>326</v>
      </c>
      <c r="B210" s="54">
        <f>Assumptions!B37</f>
        <v>17500</v>
      </c>
    </row>
    <row r="211" spans="1:22">
      <c r="A211" t="s">
        <v>329</v>
      </c>
      <c r="B211" s="11">
        <f>Assumptions!B38</f>
        <v>0.54</v>
      </c>
    </row>
    <row r="212" spans="1:22">
      <c r="D212">
        <f>(202*$B$201+$B$202)/($B$200)</f>
        <v>1.0379039999999999</v>
      </c>
    </row>
    <row r="213" spans="1:22">
      <c r="A213" t="s">
        <v>221</v>
      </c>
      <c r="B213" s="5">
        <f>1-B197/B194</f>
        <v>5.0000060805997393E-2</v>
      </c>
      <c r="D213">
        <f>(314*$B$201+$B$202)/($B$200)</f>
        <v>1.6126459999999998</v>
      </c>
    </row>
    <row r="214" spans="1:22">
      <c r="A214" t="s">
        <v>220</v>
      </c>
      <c r="B214" s="5">
        <f>1-B198/B195</f>
        <v>0.25000001382785297</v>
      </c>
      <c r="D214">
        <f>(365*$B$201+$B$202)/($B$200)</f>
        <v>1.874358875</v>
      </c>
    </row>
    <row r="215" spans="1:22">
      <c r="D215">
        <f>(379*$B$201+$B$202)/($B$200)</f>
        <v>1.946201625</v>
      </c>
    </row>
    <row r="216" spans="1:22">
      <c r="A216" t="s">
        <v>218</v>
      </c>
      <c r="B216" s="4">
        <f>B188*(B213^2)+B213*B187+B186</f>
        <v>0.14554254564104269</v>
      </c>
    </row>
    <row r="217" spans="1:22">
      <c r="A217" t="s">
        <v>219</v>
      </c>
      <c r="B217" s="4">
        <f>B192*(B214^2)+B214*B191+B190</f>
        <v>0.71907507649015379</v>
      </c>
    </row>
    <row r="218" spans="1:22">
      <c r="B218" s="4"/>
      <c r="C218" s="5"/>
      <c r="D218" s="5"/>
      <c r="E218" s="5"/>
      <c r="F218" s="5"/>
      <c r="G218" s="5"/>
      <c r="H218" s="5"/>
      <c r="I218" s="5"/>
      <c r="J218" s="5"/>
      <c r="K218" s="5"/>
      <c r="L218" s="5"/>
      <c r="M218" s="5"/>
      <c r="N218" s="5"/>
      <c r="O218" s="5"/>
      <c r="P218" s="5"/>
    </row>
    <row r="219" spans="1:22">
      <c r="A219" t="s">
        <v>218</v>
      </c>
      <c r="B219" s="11">
        <f>-B216*(B194-B197)</f>
        <v>-12714.58368837237</v>
      </c>
      <c r="C219" s="5"/>
      <c r="D219" s="5"/>
      <c r="E219" s="5"/>
      <c r="F219" s="5"/>
      <c r="G219" s="5"/>
      <c r="H219" s="5"/>
      <c r="I219" s="5"/>
      <c r="J219" s="5"/>
      <c r="K219" s="5"/>
      <c r="L219" s="5"/>
      <c r="M219" s="5"/>
      <c r="N219" s="5"/>
      <c r="O219" s="5"/>
      <c r="P219" s="5"/>
    </row>
    <row r="220" spans="1:22">
      <c r="A220" t="s">
        <v>219</v>
      </c>
      <c r="B220" s="11">
        <f>-B217*(B195-B198)</f>
        <v>-505718.81763650401</v>
      </c>
      <c r="C220" s="11">
        <f>B220+B219</f>
        <v>-518433.40132487641</v>
      </c>
    </row>
    <row r="222" spans="1:22">
      <c r="A222" t="s">
        <v>222</v>
      </c>
    </row>
    <row r="223" spans="1:22">
      <c r="A223" t="s">
        <v>338</v>
      </c>
      <c r="B223" s="11">
        <f>-B59*1</f>
        <v>0</v>
      </c>
      <c r="C223" s="11">
        <f>-C59*1</f>
        <v>-1050000</v>
      </c>
      <c r="D223" s="11">
        <f t="shared" ref="D223:P223" si="21">-D59*1</f>
        <v>-1550000</v>
      </c>
      <c r="E223" s="11">
        <f t="shared" si="21"/>
        <v>-1670000</v>
      </c>
      <c r="F223" s="11">
        <f t="shared" si="21"/>
        <v>-2500000</v>
      </c>
      <c r="G223" s="11">
        <f t="shared" si="21"/>
        <v>-2550000</v>
      </c>
      <c r="H223" s="11">
        <f t="shared" si="21"/>
        <v>-2670000</v>
      </c>
      <c r="I223" s="11">
        <f t="shared" si="21"/>
        <v>-3500000</v>
      </c>
      <c r="J223" s="11">
        <f t="shared" si="21"/>
        <v>-3620000</v>
      </c>
      <c r="K223" s="11">
        <f t="shared" si="21"/>
        <v>-4200000</v>
      </c>
      <c r="L223" s="11">
        <f t="shared" si="21"/>
        <v>-4800000</v>
      </c>
      <c r="M223" s="11">
        <f t="shared" si="21"/>
        <v>-4920000</v>
      </c>
      <c r="N223" s="11">
        <f t="shared" si="21"/>
        <v>-5300000</v>
      </c>
      <c r="O223" s="11">
        <f t="shared" si="21"/>
        <v>-5600000</v>
      </c>
      <c r="P223" s="11">
        <f t="shared" si="21"/>
        <v>-6300000</v>
      </c>
      <c r="Q223" s="11"/>
      <c r="R223" s="11"/>
      <c r="S223" s="11"/>
      <c r="T223" s="11"/>
      <c r="U223" s="11"/>
      <c r="V223" s="11"/>
    </row>
    <row r="225" spans="1:16">
      <c r="A225" t="s">
        <v>158</v>
      </c>
      <c r="B225" s="11">
        <f t="shared" ref="B225:P225" si="22">-B48+B59</f>
        <v>0</v>
      </c>
      <c r="C225" s="11">
        <f>-C48+C59</f>
        <v>-10120.709999999963</v>
      </c>
      <c r="D225" s="11">
        <f t="shared" si="22"/>
        <v>-11406.300000000047</v>
      </c>
      <c r="E225" s="11">
        <f t="shared" si="22"/>
        <v>-11406.300000000047</v>
      </c>
      <c r="F225" s="11">
        <f t="shared" si="22"/>
        <v>-12622.450000000186</v>
      </c>
      <c r="G225" s="11">
        <f t="shared" si="22"/>
        <v>-16998.339999999851</v>
      </c>
      <c r="H225" s="11">
        <f t="shared" si="22"/>
        <v>-16998.339999999851</v>
      </c>
      <c r="I225" s="11">
        <f t="shared" si="22"/>
        <v>-19171.259999999776</v>
      </c>
      <c r="J225" s="11">
        <f t="shared" si="22"/>
        <v>-19156.470000000205</v>
      </c>
      <c r="K225" s="11">
        <f t="shared" si="22"/>
        <v>-22066.259999999776</v>
      </c>
      <c r="L225" s="11">
        <f t="shared" si="22"/>
        <v>-31875.589999999851</v>
      </c>
      <c r="M225" s="11">
        <f t="shared" si="22"/>
        <v>-31888.049999999814</v>
      </c>
      <c r="N225" s="11">
        <f t="shared" si="22"/>
        <v>-36018.139999999665</v>
      </c>
      <c r="O225" s="11">
        <f t="shared" si="22"/>
        <v>-34080.019999999553</v>
      </c>
      <c r="P225" s="11">
        <f t="shared" si="22"/>
        <v>-44837.120000000112</v>
      </c>
    </row>
    <row r="226" spans="1:16">
      <c r="A226" t="s">
        <v>157</v>
      </c>
      <c r="B226">
        <v>0</v>
      </c>
      <c r="C226" s="16">
        <f>IF(C225=0,0,-(C225+10000)/500)</f>
        <v>0.2414199999999255</v>
      </c>
      <c r="D226" s="16">
        <f t="shared" ref="D226:P226" si="23">IF(D225=0,0,-(D225+10000)/500)</f>
        <v>2.812600000000093</v>
      </c>
      <c r="E226" s="16">
        <f t="shared" si="23"/>
        <v>2.812600000000093</v>
      </c>
      <c r="F226" s="16">
        <f t="shared" si="23"/>
        <v>5.2449000000003725</v>
      </c>
      <c r="G226" s="16">
        <f t="shared" si="23"/>
        <v>13.996679999999701</v>
      </c>
      <c r="H226" s="16">
        <f t="shared" si="23"/>
        <v>13.996679999999701</v>
      </c>
      <c r="I226" s="16">
        <f t="shared" si="23"/>
        <v>18.342519999999553</v>
      </c>
      <c r="J226" s="16">
        <f t="shared" si="23"/>
        <v>18.31294000000041</v>
      </c>
      <c r="K226" s="16">
        <f t="shared" si="23"/>
        <v>24.132519999999552</v>
      </c>
      <c r="L226" s="16">
        <f t="shared" si="23"/>
        <v>43.7511799999997</v>
      </c>
      <c r="M226" s="16">
        <f t="shared" si="23"/>
        <v>43.77609999999963</v>
      </c>
      <c r="N226" s="16">
        <f t="shared" si="23"/>
        <v>52.03627999999933</v>
      </c>
      <c r="O226" s="16">
        <f t="shared" si="23"/>
        <v>48.160039999999107</v>
      </c>
      <c r="P226" s="16">
        <f t="shared" si="23"/>
        <v>69.674240000000225</v>
      </c>
    </row>
    <row r="227" spans="1:16">
      <c r="A227" t="s">
        <v>156</v>
      </c>
      <c r="B227">
        <v>0</v>
      </c>
      <c r="C227" s="15">
        <f>ROUNDUP(C226/6,0)</f>
        <v>1</v>
      </c>
      <c r="D227" s="15">
        <f>ROUNDUP(D226/6,0)</f>
        <v>1</v>
      </c>
      <c r="E227" s="15">
        <f>ROUNDUP(E226/6,0)</f>
        <v>1</v>
      </c>
      <c r="F227" s="15">
        <f>ROUNDUP(F226/6,0)</f>
        <v>1</v>
      </c>
      <c r="G227" s="15">
        <f t="shared" ref="G227:P227" si="24">ROUNDUP(G226/6,0)</f>
        <v>3</v>
      </c>
      <c r="H227" s="15">
        <f t="shared" si="24"/>
        <v>3</v>
      </c>
      <c r="I227" s="15">
        <f t="shared" si="24"/>
        <v>4</v>
      </c>
      <c r="J227" s="15">
        <f t="shared" si="24"/>
        <v>4</v>
      </c>
      <c r="K227" s="15">
        <f t="shared" si="24"/>
        <v>5</v>
      </c>
      <c r="L227" s="15">
        <f t="shared" si="24"/>
        <v>8</v>
      </c>
      <c r="M227" s="15">
        <f t="shared" si="24"/>
        <v>8</v>
      </c>
      <c r="N227" s="15">
        <f t="shared" si="24"/>
        <v>9</v>
      </c>
      <c r="O227" s="15">
        <f t="shared" si="24"/>
        <v>9</v>
      </c>
      <c r="P227" s="15">
        <f t="shared" si="24"/>
        <v>12</v>
      </c>
    </row>
    <row r="228" spans="1:16">
      <c r="C228" s="15"/>
      <c r="D228" s="15"/>
      <c r="E228" s="15"/>
      <c r="F228" s="15"/>
      <c r="G228" s="15"/>
      <c r="H228" s="15"/>
      <c r="I228" s="15"/>
      <c r="J228" s="15"/>
      <c r="K228" s="15"/>
      <c r="L228" s="15"/>
      <c r="M228" s="15"/>
      <c r="N228" s="15"/>
      <c r="O228" s="15"/>
      <c r="P228" s="15"/>
    </row>
    <row r="229" spans="1:16">
      <c r="A229" t="s">
        <v>278</v>
      </c>
      <c r="C229" s="15"/>
      <c r="D229" s="15"/>
      <c r="E229" s="15"/>
      <c r="F229" s="15"/>
      <c r="G229" s="15"/>
      <c r="H229" s="15"/>
      <c r="I229" s="15"/>
      <c r="J229" s="15"/>
      <c r="K229" s="15"/>
      <c r="L229" s="15"/>
      <c r="M229" s="15"/>
      <c r="N229" s="15"/>
      <c r="O229" s="15"/>
      <c r="P229" s="15"/>
    </row>
    <row r="230" spans="1:16">
      <c r="A230" t="s">
        <v>274</v>
      </c>
      <c r="B230" s="11">
        <f>-(202*$B$201+$B$202)*B165/($B$200)/25</f>
        <v>-3423.1618321151996</v>
      </c>
      <c r="C230" s="11">
        <f t="shared" ref="C230:P230" si="25">-(202*$B$201+$B$202)*C165/($B$200)/25</f>
        <v>-3834.8618146943995</v>
      </c>
      <c r="D230" s="11">
        <f t="shared" si="25"/>
        <v>-3733.8401274047997</v>
      </c>
      <c r="E230" s="11">
        <f t="shared" si="25"/>
        <v>-3706.3290288191993</v>
      </c>
      <c r="F230" s="11">
        <f t="shared" si="25"/>
        <v>-2972.1364972991996</v>
      </c>
      <c r="G230" s="11">
        <f t="shared" si="25"/>
        <v>-3629.3265158975996</v>
      </c>
      <c r="H230" s="11">
        <f t="shared" si="25"/>
        <v>-3505.0437393215998</v>
      </c>
      <c r="I230" s="11">
        <f t="shared" si="25"/>
        <v>-2973.5297796287991</v>
      </c>
      <c r="J230" s="11">
        <f t="shared" si="25"/>
        <v>-2955.446170656</v>
      </c>
      <c r="K230" s="11">
        <f t="shared" si="25"/>
        <v>-2946.0992223936</v>
      </c>
      <c r="L230" s="11">
        <f t="shared" si="25"/>
        <v>-3117.5302412352003</v>
      </c>
      <c r="M230" s="11">
        <f t="shared" si="25"/>
        <v>-3137.4571677119993</v>
      </c>
      <c r="N230" s="11">
        <f t="shared" si="25"/>
        <v>-2952.4100938751999</v>
      </c>
      <c r="O230" s="11">
        <f t="shared" si="25"/>
        <v>-2979.1577102783999</v>
      </c>
      <c r="P230" s="11">
        <f t="shared" si="25"/>
        <v>-2990.7631376447994</v>
      </c>
    </row>
    <row r="231" spans="1:16">
      <c r="A231" t="s">
        <v>275</v>
      </c>
      <c r="B231" s="11">
        <f t="shared" ref="B231:P231" si="26">-(314*$B$201+$B$202)*B166/($B$200)/25</f>
        <v>-11300.485253086399</v>
      </c>
      <c r="C231" s="11">
        <f t="shared" si="26"/>
        <v>-9858.6649086911984</v>
      </c>
      <c r="D231" s="11">
        <f t="shared" si="26"/>
        <v>-9875.4989977559981</v>
      </c>
      <c r="E231" s="11">
        <f t="shared" si="26"/>
        <v>-9747.4265227863998</v>
      </c>
      <c r="F231" s="11">
        <f t="shared" si="26"/>
        <v>-8531.9907139879997</v>
      </c>
      <c r="G231" s="11">
        <f t="shared" si="26"/>
        <v>-10160.405811634399</v>
      </c>
      <c r="H231" s="11">
        <f t="shared" si="26"/>
        <v>-9947.9648584119986</v>
      </c>
      <c r="I231" s="11">
        <f t="shared" si="26"/>
        <v>-8345.184381581601</v>
      </c>
      <c r="J231" s="11">
        <f t="shared" si="26"/>
        <v>-8600.9680988168002</v>
      </c>
      <c r="K231" s="11">
        <f t="shared" si="26"/>
        <v>-7532.7571939423997</v>
      </c>
      <c r="L231" s="11">
        <f t="shared" si="26"/>
        <v>-7564.8482042840005</v>
      </c>
      <c r="M231" s="11">
        <f t="shared" si="26"/>
        <v>-7652.9289936288005</v>
      </c>
      <c r="N231" s="11">
        <f t="shared" si="26"/>
        <v>-7226.2389884887998</v>
      </c>
      <c r="O231" s="11">
        <f t="shared" si="26"/>
        <v>-7207.708395831999</v>
      </c>
      <c r="P231" s="11">
        <f t="shared" si="26"/>
        <v>-7123.5218240479999</v>
      </c>
    </row>
    <row r="232" spans="1:16">
      <c r="A232" t="s">
        <v>276</v>
      </c>
      <c r="B232" s="11">
        <f t="shared" ref="B232:P232" si="27">-(365*$B$201+$B$202)*B167/($B$200)/25</f>
        <v>-1611.9928673694499</v>
      </c>
      <c r="C232" s="11">
        <f t="shared" si="27"/>
        <v>-2037.7617330047499</v>
      </c>
      <c r="D232" s="11">
        <f t="shared" si="27"/>
        <v>-1825.9321893619499</v>
      </c>
      <c r="E232" s="11">
        <f t="shared" si="27"/>
        <v>-1863.5303289073499</v>
      </c>
      <c r="F232" s="11">
        <f t="shared" si="27"/>
        <v>-2658.0927985827998</v>
      </c>
      <c r="G232" s="11">
        <f t="shared" si="27"/>
        <v>-1650.1090797079</v>
      </c>
      <c r="H232" s="11">
        <f t="shared" si="27"/>
        <v>-2284.2054368639497</v>
      </c>
      <c r="I232" s="11">
        <f t="shared" si="27"/>
        <v>-2830.0509802366</v>
      </c>
      <c r="J232" s="11">
        <f t="shared" si="27"/>
        <v>-2687.2705683181493</v>
      </c>
      <c r="K232" s="11">
        <f t="shared" si="27"/>
        <v>-3602.6707054341996</v>
      </c>
      <c r="L232" s="11">
        <f t="shared" si="27"/>
        <v>-3610.8579050001995</v>
      </c>
      <c r="M232" s="11">
        <f t="shared" si="27"/>
        <v>-3425.6944902002501</v>
      </c>
      <c r="N232" s="11">
        <f t="shared" si="27"/>
        <v>-4026.7414019287494</v>
      </c>
      <c r="O232" s="11">
        <f t="shared" si="27"/>
        <v>-4018.5804433870003</v>
      </c>
      <c r="P232" s="11">
        <f t="shared" si="27"/>
        <v>-4062.3557200408495</v>
      </c>
    </row>
    <row r="233" spans="1:16">
      <c r="A233" t="s">
        <v>277</v>
      </c>
      <c r="B233" s="11">
        <f t="shared" ref="B233:P233" si="28">-(397*$B$201+$B$202)*B168/($B$200)/25</f>
        <v>-51.841672779600003</v>
      </c>
      <c r="C233" s="11">
        <f t="shared" si="28"/>
        <v>-83.256049963350009</v>
      </c>
      <c r="D233" s="11">
        <f t="shared" si="28"/>
        <v>-34.912564805250007</v>
      </c>
      <c r="E233" s="11">
        <f t="shared" si="28"/>
        <v>-37.916602846650001</v>
      </c>
      <c r="F233" s="11">
        <f t="shared" si="28"/>
        <v>-64.40986993815001</v>
      </c>
      <c r="G233" s="11">
        <f t="shared" si="28"/>
        <v>-8.9452489995000004</v>
      </c>
      <c r="H233" s="11">
        <f t="shared" si="28"/>
        <v>-27.643836493350005</v>
      </c>
      <c r="I233" s="11">
        <f t="shared" si="28"/>
        <v>-14.037599045250001</v>
      </c>
      <c r="J233" s="11">
        <f t="shared" si="28"/>
        <v>-42.419398195350006</v>
      </c>
      <c r="K233" s="11">
        <f t="shared" si="28"/>
        <v>-549.12494402865002</v>
      </c>
      <c r="L233" s="11">
        <f t="shared" si="28"/>
        <v>-436.97092876965007</v>
      </c>
      <c r="M233" s="11">
        <f t="shared" si="28"/>
        <v>-518.32458439245011</v>
      </c>
      <c r="N233" s="11">
        <f t="shared" si="28"/>
        <v>-548.67808929285002</v>
      </c>
      <c r="O233" s="11">
        <f t="shared" si="28"/>
        <v>-556.25668037775006</v>
      </c>
      <c r="P233" s="11">
        <f t="shared" si="28"/>
        <v>-561.38083212915001</v>
      </c>
    </row>
    <row r="234" spans="1:16">
      <c r="A234" t="s">
        <v>286</v>
      </c>
      <c r="B234" s="11">
        <f t="shared" ref="B234:P234" si="29">IF(B65&lt;0.3,-(100*$B$201+$B$202),0)</f>
        <v>0</v>
      </c>
      <c r="C234" s="11">
        <f>IF(C65&lt;0.3,-(100*$B$201+$B$202),0)</f>
        <v>0</v>
      </c>
      <c r="D234" s="11">
        <f t="shared" si="29"/>
        <v>0</v>
      </c>
      <c r="E234" s="11">
        <f t="shared" si="29"/>
        <v>0</v>
      </c>
      <c r="F234" s="11">
        <f t="shared" si="29"/>
        <v>0</v>
      </c>
      <c r="G234" s="11">
        <f t="shared" si="29"/>
        <v>0</v>
      </c>
      <c r="H234" s="11">
        <f t="shared" si="29"/>
        <v>0</v>
      </c>
      <c r="I234" s="11">
        <f t="shared" si="29"/>
        <v>0</v>
      </c>
      <c r="J234" s="11">
        <f t="shared" si="29"/>
        <v>0</v>
      </c>
      <c r="K234" s="11">
        <f t="shared" si="29"/>
        <v>-41158.26</v>
      </c>
      <c r="L234" s="11">
        <f t="shared" si="29"/>
        <v>-41158.26</v>
      </c>
      <c r="M234" s="11">
        <f t="shared" si="29"/>
        <v>-41158.26</v>
      </c>
      <c r="N234" s="11">
        <f t="shared" si="29"/>
        <v>-41158.26</v>
      </c>
      <c r="O234" s="11">
        <f t="shared" si="29"/>
        <v>-41158.26</v>
      </c>
      <c r="P234" s="11">
        <f t="shared" si="29"/>
        <v>-41158.26</v>
      </c>
    </row>
    <row r="235" spans="1:16">
      <c r="C235" s="15"/>
      <c r="D235" s="15"/>
      <c r="E235" s="15"/>
      <c r="F235" s="15"/>
      <c r="G235" s="15"/>
      <c r="H235" s="15"/>
      <c r="I235" s="15"/>
      <c r="J235" s="15"/>
      <c r="K235" s="15"/>
      <c r="L235" s="15"/>
      <c r="M235" s="15"/>
      <c r="N235" s="15"/>
      <c r="O235" s="15"/>
      <c r="P235" s="15"/>
    </row>
    <row r="236" spans="1:16">
      <c r="A236" t="s">
        <v>279</v>
      </c>
      <c r="C236" s="15"/>
      <c r="D236" s="15"/>
      <c r="E236" s="15"/>
      <c r="F236" s="15"/>
      <c r="G236" s="15"/>
      <c r="H236" s="15"/>
      <c r="I236" s="15"/>
      <c r="J236" s="15"/>
      <c r="K236" s="15"/>
      <c r="L236" s="15"/>
      <c r="M236" s="15"/>
      <c r="N236" s="15"/>
      <c r="O236" s="15"/>
      <c r="P236" s="15"/>
    </row>
    <row r="237" spans="1:16">
      <c r="A237" t="s">
        <v>274</v>
      </c>
      <c r="B237" s="11">
        <f t="shared" ref="B237:P237" si="30">-$B204*B165/25</f>
        <v>-52047.261675600006</v>
      </c>
      <c r="C237" s="11">
        <f t="shared" si="30"/>
        <v>-58306.929718200008</v>
      </c>
      <c r="D237" s="11">
        <f t="shared" si="30"/>
        <v>-56770.951446900006</v>
      </c>
      <c r="E237" s="11">
        <f t="shared" si="30"/>
        <v>-56352.660575099995</v>
      </c>
      <c r="F237" s="11">
        <f t="shared" si="30"/>
        <v>-45189.673640099994</v>
      </c>
      <c r="G237" s="11">
        <f t="shared" si="30"/>
        <v>-55181.880420300004</v>
      </c>
      <c r="H237" s="11">
        <f t="shared" si="30"/>
        <v>-53292.230292300002</v>
      </c>
      <c r="I237" s="11">
        <f t="shared" si="30"/>
        <v>-45210.857718899992</v>
      </c>
      <c r="J237" s="11">
        <f t="shared" si="30"/>
        <v>-44935.906555500005</v>
      </c>
      <c r="K237" s="11">
        <f t="shared" si="30"/>
        <v>-44793.791433300001</v>
      </c>
      <c r="L237" s="11">
        <f t="shared" si="30"/>
        <v>-47400.3042231</v>
      </c>
      <c r="M237" s="11">
        <f t="shared" si="30"/>
        <v>-47703.281998500002</v>
      </c>
      <c r="N237" s="11">
        <f t="shared" si="30"/>
        <v>-44889.744705600002</v>
      </c>
      <c r="O237" s="11">
        <f t="shared" si="30"/>
        <v>-45296.427257700001</v>
      </c>
      <c r="P237" s="11">
        <f t="shared" si="30"/>
        <v>-45472.881291900005</v>
      </c>
    </row>
    <row r="238" spans="1:16">
      <c r="A238" t="s">
        <v>275</v>
      </c>
      <c r="B238" s="11">
        <f t="shared" ref="B238:P238" si="31">-$B205*B166/25</f>
        <v>-115291.30308060002</v>
      </c>
      <c r="C238" s="11">
        <f t="shared" si="31"/>
        <v>-100581.37314480002</v>
      </c>
      <c r="D238" s="11">
        <f t="shared" si="31"/>
        <v>-100753.1201115</v>
      </c>
      <c r="E238" s="11">
        <f t="shared" si="31"/>
        <v>-99446.482193100004</v>
      </c>
      <c r="F238" s="11">
        <f t="shared" si="31"/>
        <v>-87046.20246450002</v>
      </c>
      <c r="G238" s="11">
        <f t="shared" si="31"/>
        <v>-103659.83403510001</v>
      </c>
      <c r="H238" s="11">
        <f t="shared" si="31"/>
        <v>-101492.44088549999</v>
      </c>
      <c r="I238" s="11">
        <f t="shared" si="31"/>
        <v>-85140.342228900001</v>
      </c>
      <c r="J238" s="11">
        <f t="shared" si="31"/>
        <v>-87749.932649700015</v>
      </c>
      <c r="K238" s="11">
        <f t="shared" si="31"/>
        <v>-76851.690279600007</v>
      </c>
      <c r="L238" s="11">
        <f t="shared" si="31"/>
        <v>-77179.093423500017</v>
      </c>
      <c r="M238" s="11">
        <f t="shared" si="31"/>
        <v>-78077.722885200012</v>
      </c>
      <c r="N238" s="11">
        <f t="shared" si="31"/>
        <v>-73724.489762700017</v>
      </c>
      <c r="O238" s="11">
        <f t="shared" si="31"/>
        <v>-73535.434503000011</v>
      </c>
      <c r="P238" s="11">
        <f t="shared" si="31"/>
        <v>-72676.535142000008</v>
      </c>
    </row>
    <row r="239" spans="1:16">
      <c r="A239" t="s">
        <v>276</v>
      </c>
      <c r="B239" s="11">
        <f t="shared" ref="B239:P239" si="32">-$B206*B167/25</f>
        <v>-14412.920506500004</v>
      </c>
      <c r="C239" s="11">
        <f t="shared" si="32"/>
        <v>-18219.744307500005</v>
      </c>
      <c r="D239" s="11">
        <f t="shared" si="32"/>
        <v>-16325.764231500001</v>
      </c>
      <c r="E239" s="11">
        <f t="shared" si="32"/>
        <v>-16661.931349500002</v>
      </c>
      <c r="F239" s="11">
        <f t="shared" si="32"/>
        <v>-23766.159876000005</v>
      </c>
      <c r="G239" s="11">
        <f t="shared" si="32"/>
        <v>-14753.719743000001</v>
      </c>
      <c r="H239" s="11">
        <f t="shared" si="32"/>
        <v>-20423.211571500004</v>
      </c>
      <c r="I239" s="11">
        <f t="shared" si="32"/>
        <v>-25303.647822000003</v>
      </c>
      <c r="J239" s="11">
        <f t="shared" si="32"/>
        <v>-24027.0399855</v>
      </c>
      <c r="K239" s="11">
        <f t="shared" si="32"/>
        <v>-32211.685014000002</v>
      </c>
      <c r="L239" s="11">
        <f t="shared" si="32"/>
        <v>-32284.887234000005</v>
      </c>
      <c r="M239" s="11">
        <f t="shared" si="32"/>
        <v>-30629.330542500004</v>
      </c>
      <c r="N239" s="11">
        <f t="shared" si="32"/>
        <v>-36003.325387500008</v>
      </c>
      <c r="O239" s="11">
        <f t="shared" si="32"/>
        <v>-35930.357790000009</v>
      </c>
      <c r="P239" s="11">
        <f t="shared" si="32"/>
        <v>-36321.755044500002</v>
      </c>
    </row>
    <row r="240" spans="1:16">
      <c r="A240" t="s">
        <v>277</v>
      </c>
      <c r="B240" s="11">
        <f t="shared" ref="B240:P240" si="33">-$B207*B168/25</f>
        <v>-435.93413619130433</v>
      </c>
      <c r="C240" s="11">
        <f t="shared" si="33"/>
        <v>-700.09612494130442</v>
      </c>
      <c r="D240" s="11">
        <f t="shared" si="33"/>
        <v>-293.57808042391304</v>
      </c>
      <c r="E240" s="11">
        <f t="shared" si="33"/>
        <v>-318.83889201521743</v>
      </c>
      <c r="F240" s="11">
        <f t="shared" si="33"/>
        <v>-541.61950238478266</v>
      </c>
      <c r="G240" s="11">
        <f t="shared" si="33"/>
        <v>-75.220169152173924</v>
      </c>
      <c r="H240" s="11">
        <f t="shared" si="33"/>
        <v>-232.45569320217393</v>
      </c>
      <c r="I240" s="11">
        <f t="shared" si="33"/>
        <v>-118.04149607608697</v>
      </c>
      <c r="J240" s="11">
        <f t="shared" si="33"/>
        <v>-356.70268181086959</v>
      </c>
      <c r="K240" s="11">
        <f t="shared" si="33"/>
        <v>-4617.5652771456525</v>
      </c>
      <c r="L240" s="11">
        <f t="shared" si="33"/>
        <v>-3674.4675501456527</v>
      </c>
      <c r="M240" s="11">
        <f t="shared" si="33"/>
        <v>-4358.5665324586962</v>
      </c>
      <c r="N240" s="11">
        <f t="shared" si="33"/>
        <v>-4613.8076971369564</v>
      </c>
      <c r="O240" s="11">
        <f t="shared" si="33"/>
        <v>-4677.5357055326085</v>
      </c>
      <c r="P240" s="11">
        <f t="shared" si="33"/>
        <v>-4720.6244514717391</v>
      </c>
    </row>
    <row r="241" spans="1:22">
      <c r="E241" s="15"/>
      <c r="F241" s="15"/>
      <c r="G241" s="15"/>
      <c r="H241" s="15"/>
      <c r="I241" s="15"/>
      <c r="J241" s="15"/>
      <c r="K241" s="15"/>
      <c r="L241" s="15"/>
      <c r="M241" s="15"/>
      <c r="N241" s="15"/>
      <c r="O241" s="15"/>
      <c r="P241" s="15"/>
    </row>
    <row r="242" spans="1:22">
      <c r="A242" t="s">
        <v>231</v>
      </c>
      <c r="B242" s="2">
        <f t="shared" ref="B242:P242" si="34">B50*24*365</f>
        <v>123515.99999999999</v>
      </c>
      <c r="C242" s="2">
        <f t="shared" si="34"/>
        <v>111602.4</v>
      </c>
      <c r="D242" s="2">
        <f t="shared" si="34"/>
        <v>106609.2</v>
      </c>
      <c r="E242" s="2">
        <f t="shared" si="34"/>
        <v>106521.60000000001</v>
      </c>
      <c r="F242" s="2">
        <f t="shared" si="34"/>
        <v>89352</v>
      </c>
      <c r="G242" s="2">
        <f t="shared" si="34"/>
        <v>100214.39999999999</v>
      </c>
      <c r="H242" s="2">
        <f t="shared" si="34"/>
        <v>100126.8</v>
      </c>
      <c r="I242" s="2">
        <f t="shared" si="34"/>
        <v>84183.599999999991</v>
      </c>
      <c r="J242" s="2">
        <f t="shared" si="34"/>
        <v>84534.000000000015</v>
      </c>
      <c r="K242" s="2">
        <f t="shared" si="34"/>
        <v>69992.399999999994</v>
      </c>
      <c r="L242" s="2">
        <f t="shared" si="34"/>
        <v>38806.799999999996</v>
      </c>
      <c r="M242" s="2">
        <f t="shared" si="34"/>
        <v>39157.199999999997</v>
      </c>
      <c r="N242" s="2">
        <f t="shared" si="34"/>
        <v>36616.799999999996</v>
      </c>
      <c r="O242" s="2">
        <f t="shared" si="34"/>
        <v>42924</v>
      </c>
      <c r="P242" s="2">
        <f t="shared" si="34"/>
        <v>35477.999999999993</v>
      </c>
    </row>
    <row r="243" spans="1:22">
      <c r="A243" t="s">
        <v>224</v>
      </c>
      <c r="B243" s="2">
        <f t="shared" ref="B243:P243" si="35">(B41+B40)/$B$178/$B$179/25-B51</f>
        <v>40040.511336121141</v>
      </c>
      <c r="C243" s="2">
        <f t="shared" si="35"/>
        <v>41035.47133612114</v>
      </c>
      <c r="D243" s="2">
        <f t="shared" si="35"/>
        <v>40984.97133612114</v>
      </c>
      <c r="E243" s="2">
        <f t="shared" si="35"/>
        <v>40984.83133612114</v>
      </c>
      <c r="F243" s="2">
        <f t="shared" si="35"/>
        <v>42048.541336121139</v>
      </c>
      <c r="G243" s="2">
        <f t="shared" si="35"/>
        <v>39127.15133612114</v>
      </c>
      <c r="H243" s="2">
        <f t="shared" si="35"/>
        <v>39126.691336121141</v>
      </c>
      <c r="I243" s="2">
        <f t="shared" si="35"/>
        <v>39661.58133612114</v>
      </c>
      <c r="J243" s="2">
        <f t="shared" si="35"/>
        <v>39627.371336121141</v>
      </c>
      <c r="K243" s="2">
        <f t="shared" si="35"/>
        <v>39857.381336121136</v>
      </c>
      <c r="L243" s="2">
        <f t="shared" si="35"/>
        <v>38895.091336121142</v>
      </c>
      <c r="M243" s="2">
        <f t="shared" si="35"/>
        <v>38810.861336121139</v>
      </c>
      <c r="N243" s="2">
        <f t="shared" si="35"/>
        <v>37268.771336121135</v>
      </c>
      <c r="O243" s="2">
        <f t="shared" si="35"/>
        <v>37417.111336121139</v>
      </c>
      <c r="P243" s="2">
        <f t="shared" si="35"/>
        <v>33407.22133612114</v>
      </c>
    </row>
    <row r="244" spans="1:22">
      <c r="A244" t="s">
        <v>232</v>
      </c>
      <c r="B244" s="2">
        <f t="shared" ref="B244:P244" si="36">B242+B243</f>
        <v>163556.51133612113</v>
      </c>
      <c r="C244" s="2">
        <f t="shared" si="36"/>
        <v>152637.87133612114</v>
      </c>
      <c r="D244" s="2">
        <f t="shared" si="36"/>
        <v>147594.17133612113</v>
      </c>
      <c r="E244" s="2">
        <f t="shared" si="36"/>
        <v>147506.43133612114</v>
      </c>
      <c r="F244" s="2">
        <f t="shared" si="36"/>
        <v>131400.54133612115</v>
      </c>
      <c r="G244" s="2">
        <f t="shared" si="36"/>
        <v>139341.55133612113</v>
      </c>
      <c r="H244" s="2">
        <f t="shared" si="36"/>
        <v>139253.49133612114</v>
      </c>
      <c r="I244" s="2">
        <f t="shared" si="36"/>
        <v>123845.18133612114</v>
      </c>
      <c r="J244" s="2">
        <f t="shared" si="36"/>
        <v>124161.37133612116</v>
      </c>
      <c r="K244" s="2">
        <f t="shared" si="36"/>
        <v>109849.78133612113</v>
      </c>
      <c r="L244" s="2">
        <f t="shared" si="36"/>
        <v>77701.891336121131</v>
      </c>
      <c r="M244" s="2">
        <f t="shared" si="36"/>
        <v>77968.061336121144</v>
      </c>
      <c r="N244" s="2">
        <f t="shared" si="36"/>
        <v>73885.571336121124</v>
      </c>
      <c r="O244" s="2">
        <f t="shared" si="36"/>
        <v>80341.111336121132</v>
      </c>
      <c r="P244" s="2">
        <f t="shared" si="36"/>
        <v>68885.221336121132</v>
      </c>
    </row>
    <row r="245" spans="1:22">
      <c r="B245" s="2"/>
      <c r="C245" s="2"/>
      <c r="D245" s="2"/>
      <c r="E245" s="2"/>
      <c r="F245" s="2"/>
      <c r="G245" s="2"/>
      <c r="H245" s="2"/>
      <c r="I245" s="2"/>
      <c r="J245" s="2"/>
      <c r="K245" s="2"/>
      <c r="L245" s="2"/>
      <c r="M245" s="2"/>
      <c r="N245" s="2"/>
      <c r="O245" s="2"/>
      <c r="P245" s="2"/>
    </row>
    <row r="246" spans="1:22">
      <c r="A246" t="s">
        <v>330</v>
      </c>
      <c r="B246" s="2">
        <f>IF(B45="No Generator",0,IF(B45="WG 100",1,IF(B45="WG 200",2,IF(B45="WG 300",3,IF(B45="WG 400",4,IF(B45="WG 500",5))))))</f>
        <v>0</v>
      </c>
      <c r="C246" s="2">
        <f>IF(C45="No Generator",0,IF(C45="WG 100",1,IF(C45="WG 200",2,IF(C45="WG 300",3,IF(C45="WG 400",4,IF(C45="WG 500",5))))))</f>
        <v>0</v>
      </c>
      <c r="D246" s="2">
        <f>IF(D45="No Generator",0,IF(D45="WG 100",1,IF(D45="WG 200",2,IF(D45="WG 300",3,IF(D45="WG 400",4,IF(D45="WG 500",5))))))</f>
        <v>0</v>
      </c>
      <c r="E246" s="2">
        <f>IF(E45="No Generator",0,IF(E45="WG 100",1,IF(E45="WG 200",2,IF(E45="WG 300",3,IF(E45="WG 400",4,IF(E45="WG 500",5))))))</f>
        <v>0</v>
      </c>
      <c r="F246" s="2">
        <f>IF(F45="No Generator",0,IF(F45="WG 100",1,IF(F45="WG 200",2,IF(F45="WG 300",3,IF(F45="WG 400",4,IF(F45="WG 500",5))))))</f>
        <v>1</v>
      </c>
      <c r="G246" s="2">
        <f t="shared" ref="G246:P246" si="37">IF(G45="No Generator",0,IF(G45="WG 100",1,IF(G45="WG 200",2,IF(G45="WG 300",3,IF(G45="WG 400",4,IF(G45="WG 500",5))))))</f>
        <v>0</v>
      </c>
      <c r="H246" s="2">
        <f t="shared" si="37"/>
        <v>0</v>
      </c>
      <c r="I246" s="2">
        <f t="shared" si="37"/>
        <v>1</v>
      </c>
      <c r="J246" s="2">
        <f t="shared" si="37"/>
        <v>1</v>
      </c>
      <c r="K246" s="2">
        <f t="shared" si="37"/>
        <v>2</v>
      </c>
      <c r="L246" s="2">
        <f t="shared" si="37"/>
        <v>5</v>
      </c>
      <c r="M246" s="2">
        <f t="shared" si="37"/>
        <v>5</v>
      </c>
      <c r="N246" s="2">
        <f t="shared" si="37"/>
        <v>5</v>
      </c>
      <c r="O246" s="2">
        <f t="shared" si="37"/>
        <v>4</v>
      </c>
      <c r="P246" s="2">
        <f t="shared" si="37"/>
        <v>5</v>
      </c>
      <c r="Q246" s="2"/>
      <c r="R246" s="2"/>
      <c r="S246" s="2"/>
      <c r="T246" s="2"/>
      <c r="U246" s="2"/>
      <c r="V246" s="2"/>
    </row>
    <row r="247" spans="1:22">
      <c r="A247" t="s">
        <v>331</v>
      </c>
      <c r="B247" s="2">
        <f>IF(B43="No Generator",0,IF(B43="SG 100",1,IF(B43="SG 200",2,IF(B43="SG 300",3,IF(B43="SG 400",4,IF(B43="SG 500",5))))))</f>
        <v>0</v>
      </c>
      <c r="C247" s="2">
        <f t="shared" ref="C247:P247" si="38">IF(C43="No Generator",0,IF(C43="SG 100",1,IF(C43="SG 200",2,IF(C43="SG 300",3,IF(C43="SG 400",4,IF(C43="SG 500",5))))))</f>
        <v>2</v>
      </c>
      <c r="D247" s="2">
        <f t="shared" si="38"/>
        <v>3</v>
      </c>
      <c r="E247" s="2">
        <f t="shared" si="38"/>
        <v>3</v>
      </c>
      <c r="F247" s="2">
        <f t="shared" si="38"/>
        <v>3</v>
      </c>
      <c r="G247" s="2">
        <f t="shared" si="38"/>
        <v>5</v>
      </c>
      <c r="H247" s="2">
        <f t="shared" si="38"/>
        <v>5</v>
      </c>
      <c r="I247" s="2">
        <f t="shared" si="38"/>
        <v>5</v>
      </c>
      <c r="J247" s="2">
        <f t="shared" si="38"/>
        <v>5</v>
      </c>
      <c r="K247" s="2">
        <f t="shared" si="38"/>
        <v>5</v>
      </c>
      <c r="L247" s="2">
        <f t="shared" si="38"/>
        <v>2</v>
      </c>
      <c r="M247" s="2">
        <f t="shared" si="38"/>
        <v>2</v>
      </c>
      <c r="N247" s="2">
        <f t="shared" si="38"/>
        <v>3</v>
      </c>
      <c r="O247" s="2">
        <f t="shared" si="38"/>
        <v>5</v>
      </c>
      <c r="P247" s="2">
        <f t="shared" si="38"/>
        <v>5</v>
      </c>
      <c r="Q247" s="2"/>
      <c r="R247" s="2"/>
      <c r="S247" s="2"/>
      <c r="T247" s="2"/>
      <c r="U247" s="2"/>
      <c r="V247" s="2"/>
    </row>
    <row r="248" spans="1:22">
      <c r="A248" t="s">
        <v>339</v>
      </c>
      <c r="B248" s="11">
        <f>-IF(B246=0,0,IF(B246=1,$B$209*(1),IF(B246=2,$B$209*(1+0.95),IF(B246=3,$B$209*(1+0.95+0.9),IF(B246=4,$B$209*(1+0.95+0.9+0.85),IF(B246=5,$B$209*(1+0.95+0.9+0.85+0.8)))))))</f>
        <v>0</v>
      </c>
      <c r="C248" s="11">
        <f>-IF(C246=0,0,IF(C246=1,$B$209*(1),IF(C246=2,$B$209*(1+0.95),IF(C246=3,$B$209*(1+0.95+0.9),IF(C246=4,$B$209*(1+0.95+0.9+0.85),IF(C246=5,$B$209*(1+0.95+0.9+0.85+0.8)))))))</f>
        <v>0</v>
      </c>
      <c r="D248" s="11">
        <f>-IF(D246=0,0,IF(D246=1,$B$209*(1),IF(D246=2,$B$209*(1+0.95),IF(D246=3,$B$209*(1+0.95+0.9),IF(D246=4,$B$209*(1+0.95+0.9+0.85),IF(D246=5,$B$209*(1+0.95+0.9+0.85+0.8)))))))</f>
        <v>0</v>
      </c>
      <c r="E248" s="11">
        <f>-IF(E246=0,0,IF(E246=1,$B$209*(1),IF(E246=2,$B$209*(1+0.95),IF(E246=3,$B$209*(1+0.95+0.9),IF(E246=4,$B$209*(1+0.95+0.9+0.85),IF(E246=5,$B$209*(1+0.95+0.9+0.85+0.8)))))))</f>
        <v>0</v>
      </c>
      <c r="F248" s="11">
        <f>-IF(F246=0,0,IF(F246=1,$B$209*(1),IF(F246=2,$B$209*(1+0.95),IF(F246=3,$B$209*(1+0.95+0.9),IF(F246=4,$B$209*(1+0.95+0.9+0.85),IF(F246=5,$B$209*(1+0.95+0.9+0.85+0.8)))))))</f>
        <v>-560000</v>
      </c>
      <c r="G248" s="11">
        <f t="shared" ref="G248:P248" si="39">-IF(G246=0,0,IF(G246=1,$B$209*(1),IF(G246=2,$B$209*(1+0.95),IF(G246=3,$B$209*(1+0.95+0.9),IF(G246=4,$B$209*(1+0.95+0.9+0.85),IF(G246=5,$B$209*(1+0.95+0.9+0.85+0.8)))))))</f>
        <v>0</v>
      </c>
      <c r="H248" s="11">
        <f t="shared" si="39"/>
        <v>0</v>
      </c>
      <c r="I248" s="11">
        <f t="shared" si="39"/>
        <v>-560000</v>
      </c>
      <c r="J248" s="11">
        <f t="shared" si="39"/>
        <v>-560000</v>
      </c>
      <c r="K248" s="11">
        <f t="shared" si="39"/>
        <v>-1092000</v>
      </c>
      <c r="L248" s="11">
        <f t="shared" si="39"/>
        <v>-2520000</v>
      </c>
      <c r="M248" s="11">
        <f t="shared" si="39"/>
        <v>-2520000</v>
      </c>
      <c r="N248" s="11">
        <f t="shared" si="39"/>
        <v>-2520000</v>
      </c>
      <c r="O248" s="11">
        <f t="shared" si="39"/>
        <v>-2072000</v>
      </c>
      <c r="P248" s="11">
        <f t="shared" si="39"/>
        <v>-2520000</v>
      </c>
      <c r="Q248" s="11"/>
      <c r="R248" s="11"/>
      <c r="S248" s="11"/>
      <c r="T248" s="11"/>
      <c r="U248" s="11"/>
      <c r="V248" s="11"/>
    </row>
    <row r="249" spans="1:22">
      <c r="A249" t="s">
        <v>352</v>
      </c>
      <c r="B249" s="11">
        <v>0</v>
      </c>
      <c r="C249" s="11">
        <v>0</v>
      </c>
      <c r="D249" s="11">
        <v>0</v>
      </c>
      <c r="E249" s="11">
        <v>0</v>
      </c>
      <c r="F249" s="11">
        <v>0</v>
      </c>
      <c r="G249" s="11">
        <v>0</v>
      </c>
      <c r="H249" s="11">
        <v>0</v>
      </c>
      <c r="I249" s="11">
        <v>0</v>
      </c>
      <c r="J249" s="11">
        <v>0</v>
      </c>
      <c r="K249" s="11">
        <v>0</v>
      </c>
      <c r="L249" s="11">
        <v>0</v>
      </c>
      <c r="M249" s="11">
        <v>0</v>
      </c>
      <c r="N249" s="11">
        <v>0</v>
      </c>
      <c r="O249" s="11">
        <v>0</v>
      </c>
      <c r="P249" s="11">
        <v>0</v>
      </c>
      <c r="Q249" s="11"/>
      <c r="R249" s="11"/>
      <c r="S249" s="11"/>
      <c r="T249" s="11"/>
      <c r="U249" s="11"/>
      <c r="V249" s="11"/>
    </row>
    <row r="250" spans="1:22">
      <c r="A250" t="s">
        <v>336</v>
      </c>
      <c r="B250" s="11">
        <f>-NPV($B$173,0,0,0,0,0,0,0,0,0,0,875*B247*100)</f>
        <v>0</v>
      </c>
      <c r="C250" s="11">
        <f>-NPV($B$173,0,0,0,0,0,0,0,0,0,0,875*C247*100)</f>
        <v>-126423.72340478336</v>
      </c>
      <c r="D250" s="11">
        <f t="shared" ref="D250:P250" si="40">-NPV($B$173,0,0,0,0,0,0,0,0,0,0,875*D247*100)</f>
        <v>-189635.58510717505</v>
      </c>
      <c r="E250" s="11">
        <f t="shared" si="40"/>
        <v>-189635.58510717505</v>
      </c>
      <c r="F250" s="11">
        <f>-NPV($B$173,0,0,0,0,0,0,0,0,0,0,875*F247*100)</f>
        <v>-189635.58510717505</v>
      </c>
      <c r="G250" s="11">
        <f t="shared" si="40"/>
        <v>-316059.3085119584</v>
      </c>
      <c r="H250" s="11">
        <f t="shared" si="40"/>
        <v>-316059.3085119584</v>
      </c>
      <c r="I250" s="11">
        <f t="shared" si="40"/>
        <v>-316059.3085119584</v>
      </c>
      <c r="J250" s="11">
        <f t="shared" si="40"/>
        <v>-316059.3085119584</v>
      </c>
      <c r="K250" s="11">
        <f t="shared" si="40"/>
        <v>-316059.3085119584</v>
      </c>
      <c r="L250" s="11">
        <f t="shared" si="40"/>
        <v>-126423.72340478336</v>
      </c>
      <c r="M250" s="11">
        <f t="shared" si="40"/>
        <v>-126423.72340478336</v>
      </c>
      <c r="N250" s="11">
        <f t="shared" si="40"/>
        <v>-189635.58510717505</v>
      </c>
      <c r="O250" s="11">
        <f t="shared" si="40"/>
        <v>-316059.3085119584</v>
      </c>
      <c r="P250" s="11">
        <f t="shared" si="40"/>
        <v>-316059.3085119584</v>
      </c>
      <c r="Q250" s="11"/>
      <c r="R250" s="11"/>
      <c r="S250" s="11"/>
      <c r="T250" s="11"/>
      <c r="U250" s="11"/>
      <c r="V250" s="11"/>
    </row>
    <row r="251" spans="1:22">
      <c r="A251" t="s">
        <v>340</v>
      </c>
      <c r="B251" s="11">
        <f>-IF(B247=0,0,IF(B247=1,17500*(1),IF(B247=2,17500*(1+0.975),IF(B247=3,17500*(1+0.975+0.95),IF(B247=4,17500*(1+0.975+0.95+0.925),IF(B247=5,17500*(1+0.975+0.95+0.925+0.9)))))))</f>
        <v>0</v>
      </c>
      <c r="C251" s="11">
        <f>-IF(C247=0,0,IF(C247=1,17500*(1),IF(C247=2,17500*(1+0.975),IF(C247=3,17500*(1+0.975+0.95),IF(C247=4,17500*(1+0.975+0.95+0.925),IF(C247=5,17500*(1+0.975+0.95+0.925+0.9)))))))</f>
        <v>-34562.5</v>
      </c>
      <c r="D251" s="11">
        <f>-IF(D247=0,0,IF(D247=1,17500*(1),IF(D247=2,17500*(1+0.975),IF(D247=3,17500*(1+0.975+0.95),IF(D247=4,17500*(1+0.975+0.95+0.925),IF(D247=5,17500*(1+0.975+0.95+0.925+0.9)))))))</f>
        <v>-51187.5</v>
      </c>
      <c r="E251" s="11">
        <f>-IF(E247=0,0,IF(E247=1,17500*(1),IF(E247=2,17500*(1+0.975),IF(E247=3,17500*(1+0.975+0.95),IF(E247=4,17500*(1+0.975+0.95+0.925),IF(E247=5,17500*(1+0.975+0.95+0.925+0.9)))))))</f>
        <v>-51187.5</v>
      </c>
      <c r="F251" s="11">
        <f>-IF(F247=0,0,IF(F247=1,17500*(1),IF(F247=2,17500*(1+0.975),IF(F247=3,17500*(1+0.975+0.95),IF(F247=4,17500*(1+0.975+0.95+0.925),IF(F247=5,17500*(1+0.975+0.95+0.925+0.9)))))))</f>
        <v>-51187.5</v>
      </c>
      <c r="G251" s="11">
        <f t="shared" ref="G251:P251" si="41">-IF(G247=0,0,IF(G247=1,17500*(1),IF(G247=2,17500*(1+0.975),IF(G247=3,17500*(1+0.975+0.95),IF(G247=4,17500*(1+0.975+0.95+0.925),IF(G247=5,17500*(1+0.975+0.95+0.925+0.9)))))))</f>
        <v>-83125</v>
      </c>
      <c r="H251" s="11">
        <f t="shared" si="41"/>
        <v>-83125</v>
      </c>
      <c r="I251" s="11">
        <f t="shared" si="41"/>
        <v>-83125</v>
      </c>
      <c r="J251" s="11">
        <f t="shared" si="41"/>
        <v>-83125</v>
      </c>
      <c r="K251" s="11">
        <f t="shared" si="41"/>
        <v>-83125</v>
      </c>
      <c r="L251" s="11">
        <f t="shared" si="41"/>
        <v>-34562.5</v>
      </c>
      <c r="M251" s="11">
        <f t="shared" si="41"/>
        <v>-34562.5</v>
      </c>
      <c r="N251" s="11">
        <f t="shared" si="41"/>
        <v>-51187.5</v>
      </c>
      <c r="O251" s="11">
        <f t="shared" si="41"/>
        <v>-83125</v>
      </c>
      <c r="P251" s="11">
        <f t="shared" si="41"/>
        <v>-83125</v>
      </c>
      <c r="Q251" s="11"/>
      <c r="R251" s="11"/>
      <c r="S251" s="11"/>
      <c r="T251" s="11"/>
      <c r="U251" s="11"/>
      <c r="V251" s="11"/>
    </row>
    <row r="252" spans="1:22">
      <c r="A252" t="s">
        <v>341</v>
      </c>
      <c r="B252" s="11">
        <f t="shared" ref="B252:P252" si="42">-B247*$B$211*24*365</f>
        <v>0</v>
      </c>
      <c r="C252" s="11">
        <f t="shared" si="42"/>
        <v>-9460.8000000000011</v>
      </c>
      <c r="D252" s="11">
        <f t="shared" si="42"/>
        <v>-14191.2</v>
      </c>
      <c r="E252" s="11">
        <f t="shared" si="42"/>
        <v>-14191.2</v>
      </c>
      <c r="F252" s="11">
        <f t="shared" si="42"/>
        <v>-14191.2</v>
      </c>
      <c r="G252" s="11">
        <f t="shared" si="42"/>
        <v>-23652.000000000004</v>
      </c>
      <c r="H252" s="11">
        <f t="shared" si="42"/>
        <v>-23652.000000000004</v>
      </c>
      <c r="I252" s="11">
        <f t="shared" si="42"/>
        <v>-23652.000000000004</v>
      </c>
      <c r="J252" s="11">
        <f t="shared" si="42"/>
        <v>-23652.000000000004</v>
      </c>
      <c r="K252" s="11">
        <f t="shared" si="42"/>
        <v>-23652.000000000004</v>
      </c>
      <c r="L252" s="11">
        <f t="shared" si="42"/>
        <v>-9460.8000000000011</v>
      </c>
      <c r="M252" s="11">
        <f t="shared" si="42"/>
        <v>-9460.8000000000011</v>
      </c>
      <c r="N252" s="11">
        <f t="shared" si="42"/>
        <v>-14191.2</v>
      </c>
      <c r="O252" s="11">
        <f t="shared" si="42"/>
        <v>-23652.000000000004</v>
      </c>
      <c r="P252" s="11">
        <f t="shared" si="42"/>
        <v>-23652.000000000004</v>
      </c>
      <c r="Q252" s="11"/>
      <c r="R252" s="11"/>
      <c r="S252" s="11"/>
      <c r="T252" s="11"/>
      <c r="U252" s="11"/>
      <c r="V252" s="11"/>
    </row>
    <row r="253" spans="1:22">
      <c r="B253" s="2"/>
      <c r="C253" s="2"/>
      <c r="D253" s="2"/>
      <c r="E253" s="2"/>
      <c r="F253" s="2"/>
      <c r="G253" s="2"/>
      <c r="H253" s="2"/>
      <c r="I253" s="2"/>
      <c r="J253" s="2"/>
      <c r="K253" s="2"/>
      <c r="L253" s="2"/>
      <c r="M253" s="2"/>
      <c r="N253" s="2"/>
      <c r="O253" s="2"/>
      <c r="P253" s="2"/>
    </row>
    <row r="254" spans="1:22">
      <c r="A254" t="s">
        <v>337</v>
      </c>
      <c r="B254" s="2"/>
      <c r="C254" s="2"/>
      <c r="D254" s="2"/>
      <c r="E254" s="2"/>
      <c r="F254" s="2"/>
      <c r="G254" s="2"/>
      <c r="H254" s="2"/>
      <c r="I254" s="2"/>
      <c r="J254" s="2"/>
      <c r="K254" s="2"/>
      <c r="L254" s="2"/>
      <c r="M254" s="2"/>
      <c r="N254" s="2"/>
      <c r="O254" s="2"/>
      <c r="P254" s="2"/>
    </row>
    <row r="255" spans="1:22">
      <c r="A255" t="s">
        <v>100</v>
      </c>
      <c r="B255" s="2"/>
      <c r="C255" s="2"/>
      <c r="D255" s="2"/>
      <c r="E255" s="2"/>
      <c r="F255" s="2"/>
      <c r="G255" s="2"/>
      <c r="H255" s="2"/>
      <c r="I255" s="2"/>
      <c r="J255" s="2"/>
      <c r="K255" s="2"/>
      <c r="L255" s="2"/>
      <c r="M255" s="2"/>
      <c r="N255" s="2"/>
      <c r="O255" s="2"/>
      <c r="P255" s="2"/>
    </row>
    <row r="256" spans="1:22">
      <c r="A256">
        <v>1</v>
      </c>
      <c r="B256" s="11">
        <f>SUM(B237:B240,B230:B233,B251:B252)</f>
        <v>-198574.90102424196</v>
      </c>
      <c r="C256" s="11">
        <f t="shared" ref="C256:P256" si="43">SUM(C237:C240,C230:C233,C251:C252)</f>
        <v>-237645.98780179501</v>
      </c>
      <c r="D256" s="11">
        <f t="shared" si="43"/>
        <v>-254992.29774965192</v>
      </c>
      <c r="E256" s="11">
        <f t="shared" si="43"/>
        <v>-253513.81549307483</v>
      </c>
      <c r="F256" s="11">
        <f t="shared" si="43"/>
        <v>-236148.98536279297</v>
      </c>
      <c r="G256" s="11">
        <f t="shared" si="43"/>
        <v>-295896.44102379156</v>
      </c>
      <c r="H256" s="11">
        <f t="shared" si="43"/>
        <v>-297982.19631359307</v>
      </c>
      <c r="I256" s="11">
        <f t="shared" si="43"/>
        <v>-276712.69200636836</v>
      </c>
      <c r="J256" s="11">
        <f t="shared" si="43"/>
        <v>-278132.6861084972</v>
      </c>
      <c r="K256" s="11">
        <f t="shared" si="43"/>
        <v>-279882.38406984456</v>
      </c>
      <c r="L256" s="11">
        <f t="shared" si="43"/>
        <v>-219292.2597100347</v>
      </c>
      <c r="M256" s="11">
        <f t="shared" si="43"/>
        <v>-219526.60719459224</v>
      </c>
      <c r="N256" s="11">
        <f t="shared" si="43"/>
        <v>-239364.13612652253</v>
      </c>
      <c r="O256" s="11">
        <f t="shared" si="43"/>
        <v>-280978.45848610782</v>
      </c>
      <c r="P256" s="11">
        <f t="shared" si="43"/>
        <v>-280706.81744373456</v>
      </c>
      <c r="Q256" s="11"/>
      <c r="R256" s="11"/>
      <c r="S256" s="11"/>
      <c r="T256" s="11"/>
      <c r="U256" s="11"/>
      <c r="V256" s="11"/>
    </row>
    <row r="257" spans="1:16">
      <c r="A257">
        <v>2</v>
      </c>
      <c r="B257" s="11">
        <f t="shared" ref="B257:I266" si="44">B$256/((1+$B$173)^$A257)</f>
        <v>-187175.88936209065</v>
      </c>
      <c r="C257" s="11">
        <f t="shared" si="44"/>
        <v>-224004.13592402206</v>
      </c>
      <c r="D257" s="11">
        <f t="shared" si="44"/>
        <v>-240354.69671943816</v>
      </c>
      <c r="E257" s="11">
        <f t="shared" si="44"/>
        <v>-238961.08539266174</v>
      </c>
      <c r="F257" s="11">
        <f t="shared" si="44"/>
        <v>-222593.0675490555</v>
      </c>
      <c r="G257" s="11">
        <f t="shared" si="44"/>
        <v>-278910.77483626315</v>
      </c>
      <c r="H257" s="11">
        <f t="shared" si="44"/>
        <v>-280876.79923988413</v>
      </c>
      <c r="I257" s="11">
        <f t="shared" si="44"/>
        <v>-260828.25149059136</v>
      </c>
      <c r="J257" s="11">
        <f t="shared" ref="J257:P266" si="45">J$256/((1+$B$173)^$A257)</f>
        <v>-262166.73212225205</v>
      </c>
      <c r="K257" s="11">
        <f t="shared" si="45"/>
        <v>-263815.99026283773</v>
      </c>
      <c r="L257" s="11">
        <f t="shared" si="45"/>
        <v>-206703.98690737554</v>
      </c>
      <c r="M257" s="11">
        <f t="shared" si="45"/>
        <v>-206924.88188763527</v>
      </c>
      <c r="N257" s="11">
        <f t="shared" si="45"/>
        <v>-225623.65550619524</v>
      </c>
      <c r="O257" s="11">
        <f t="shared" si="45"/>
        <v>-264849.14552371367</v>
      </c>
      <c r="P257" s="11">
        <f t="shared" si="45"/>
        <v>-264593.09778841981</v>
      </c>
    </row>
    <row r="258" spans="1:16">
      <c r="A258">
        <v>3</v>
      </c>
      <c r="B258" s="11">
        <f t="shared" si="44"/>
        <v>-181724.1644292142</v>
      </c>
      <c r="C258" s="11">
        <f t="shared" si="44"/>
        <v>-217479.7436155554</v>
      </c>
      <c r="D258" s="11">
        <f t="shared" si="44"/>
        <v>-233354.0744848914</v>
      </c>
      <c r="E258" s="11">
        <f t="shared" si="44"/>
        <v>-232001.05377928322</v>
      </c>
      <c r="F258" s="11">
        <f t="shared" si="44"/>
        <v>-216109.77431947135</v>
      </c>
      <c r="G258" s="11">
        <f t="shared" si="44"/>
        <v>-270787.16003520694</v>
      </c>
      <c r="H258" s="11">
        <f t="shared" si="44"/>
        <v>-272695.92159212049</v>
      </c>
      <c r="I258" s="11">
        <f t="shared" si="44"/>
        <v>-253231.31212678773</v>
      </c>
      <c r="J258" s="11">
        <f t="shared" si="45"/>
        <v>-254530.8078856816</v>
      </c>
      <c r="K258" s="11">
        <f t="shared" si="45"/>
        <v>-256132.02938139587</v>
      </c>
      <c r="L258" s="11">
        <f t="shared" si="45"/>
        <v>-200683.48243434518</v>
      </c>
      <c r="M258" s="11">
        <f t="shared" si="45"/>
        <v>-200897.9435802284</v>
      </c>
      <c r="N258" s="11">
        <f t="shared" si="45"/>
        <v>-219052.0927244614</v>
      </c>
      <c r="O258" s="11">
        <f t="shared" si="45"/>
        <v>-257135.09274146956</v>
      </c>
      <c r="P258" s="11">
        <f t="shared" si="45"/>
        <v>-256886.50270720368</v>
      </c>
    </row>
    <row r="259" spans="1:16">
      <c r="A259">
        <v>4</v>
      </c>
      <c r="B259" s="11">
        <f t="shared" si="44"/>
        <v>-176431.22760117886</v>
      </c>
      <c r="C259" s="11">
        <f t="shared" si="44"/>
        <v>-211145.38215102468</v>
      </c>
      <c r="D259" s="11">
        <f t="shared" si="44"/>
        <v>-226557.35386882661</v>
      </c>
      <c r="E259" s="11">
        <f t="shared" si="44"/>
        <v>-225243.74153328472</v>
      </c>
      <c r="F259" s="11">
        <f t="shared" si="44"/>
        <v>-209815.31487327316</v>
      </c>
      <c r="G259" s="11">
        <f t="shared" si="44"/>
        <v>-262900.15537398733</v>
      </c>
      <c r="H259" s="11">
        <f t="shared" si="44"/>
        <v>-264753.32193409762</v>
      </c>
      <c r="I259" s="11">
        <f t="shared" si="44"/>
        <v>-245855.6428415415</v>
      </c>
      <c r="J259" s="11">
        <f t="shared" si="45"/>
        <v>-247117.28920939963</v>
      </c>
      <c r="K259" s="11">
        <f t="shared" si="45"/>
        <v>-248671.87318582126</v>
      </c>
      <c r="L259" s="11">
        <f t="shared" si="45"/>
        <v>-194838.33246052932</v>
      </c>
      <c r="M259" s="11">
        <f t="shared" si="45"/>
        <v>-195046.54716527031</v>
      </c>
      <c r="N259" s="11">
        <f t="shared" si="45"/>
        <v>-212671.93468394311</v>
      </c>
      <c r="O259" s="11">
        <f t="shared" si="45"/>
        <v>-249645.7211082229</v>
      </c>
      <c r="P259" s="11">
        <f t="shared" si="45"/>
        <v>-249404.37156039194</v>
      </c>
    </row>
    <row r="260" spans="1:16">
      <c r="A260">
        <v>5</v>
      </c>
      <c r="B260" s="11">
        <f t="shared" si="44"/>
        <v>-171292.45398172707</v>
      </c>
      <c r="C260" s="11">
        <f t="shared" si="44"/>
        <v>-204995.51665148028</v>
      </c>
      <c r="D260" s="11">
        <f t="shared" si="44"/>
        <v>-219958.59598915206</v>
      </c>
      <c r="E260" s="11">
        <f t="shared" si="44"/>
        <v>-218683.24420707254</v>
      </c>
      <c r="F260" s="11">
        <f t="shared" si="44"/>
        <v>-203704.18919735259</v>
      </c>
      <c r="G260" s="11">
        <f t="shared" si="44"/>
        <v>-255242.86929513334</v>
      </c>
      <c r="H260" s="11">
        <f t="shared" si="44"/>
        <v>-257042.06013019185</v>
      </c>
      <c r="I260" s="11">
        <f t="shared" si="44"/>
        <v>-238694.79887528301</v>
      </c>
      <c r="J260" s="11">
        <f t="shared" si="45"/>
        <v>-239919.69826155307</v>
      </c>
      <c r="K260" s="11">
        <f t="shared" si="45"/>
        <v>-241429.00309303036</v>
      </c>
      <c r="L260" s="11">
        <f t="shared" si="45"/>
        <v>-189163.42957332946</v>
      </c>
      <c r="M260" s="11">
        <f t="shared" si="45"/>
        <v>-189365.5797721071</v>
      </c>
      <c r="N260" s="11">
        <f t="shared" si="45"/>
        <v>-206477.60648926516</v>
      </c>
      <c r="O260" s="11">
        <f t="shared" si="45"/>
        <v>-242374.48651283779</v>
      </c>
      <c r="P260" s="11">
        <f t="shared" si="45"/>
        <v>-242140.16656348735</v>
      </c>
    </row>
    <row r="261" spans="1:16">
      <c r="A261">
        <v>6</v>
      </c>
      <c r="B261" s="11">
        <f t="shared" si="44"/>
        <v>-166303.35338031754</v>
      </c>
      <c r="C261" s="11">
        <f t="shared" si="44"/>
        <v>-199024.77344803911</v>
      </c>
      <c r="D261" s="11">
        <f t="shared" si="44"/>
        <v>-213552.03494092432</v>
      </c>
      <c r="E261" s="11">
        <f t="shared" si="44"/>
        <v>-212313.82932725488</v>
      </c>
      <c r="F261" s="11">
        <f t="shared" si="44"/>
        <v>-197771.05747315785</v>
      </c>
      <c r="G261" s="11">
        <f t="shared" si="44"/>
        <v>-247808.61096614887</v>
      </c>
      <c r="H261" s="11">
        <f t="shared" si="44"/>
        <v>-249555.39818465229</v>
      </c>
      <c r="I261" s="11">
        <f t="shared" si="44"/>
        <v>-231742.5231798864</v>
      </c>
      <c r="J261" s="11">
        <f t="shared" si="45"/>
        <v>-232931.74588500295</v>
      </c>
      <c r="K261" s="11">
        <f t="shared" si="45"/>
        <v>-234397.09038158285</v>
      </c>
      <c r="L261" s="11">
        <f t="shared" si="45"/>
        <v>-183653.81511973732</v>
      </c>
      <c r="M261" s="11">
        <f t="shared" si="45"/>
        <v>-183850.07744864767</v>
      </c>
      <c r="N261" s="11">
        <f t="shared" si="45"/>
        <v>-200463.6956206458</v>
      </c>
      <c r="O261" s="11">
        <f t="shared" si="45"/>
        <v>-235315.03544935706</v>
      </c>
      <c r="P261" s="11">
        <f t="shared" si="45"/>
        <v>-235087.54035290031</v>
      </c>
    </row>
    <row r="262" spans="1:16">
      <c r="A262">
        <v>7</v>
      </c>
      <c r="B262" s="11">
        <f t="shared" si="44"/>
        <v>-161459.56638865778</v>
      </c>
      <c r="C262" s="11">
        <f t="shared" si="44"/>
        <v>-193227.93538644572</v>
      </c>
      <c r="D262" s="11">
        <f t="shared" si="44"/>
        <v>-207332.07275817893</v>
      </c>
      <c r="E262" s="11">
        <f t="shared" si="44"/>
        <v>-206129.93138568435</v>
      </c>
      <c r="F262" s="11">
        <f t="shared" si="44"/>
        <v>-192010.73541083286</v>
      </c>
      <c r="G262" s="11">
        <f t="shared" si="44"/>
        <v>-240590.88443315422</v>
      </c>
      <c r="H262" s="11">
        <f t="shared" si="44"/>
        <v>-242286.79435403133</v>
      </c>
      <c r="I262" s="11">
        <f t="shared" si="44"/>
        <v>-224992.74095134603</v>
      </c>
      <c r="J262" s="11">
        <f t="shared" si="45"/>
        <v>-226147.32610194461</v>
      </c>
      <c r="K262" s="11">
        <f t="shared" si="45"/>
        <v>-227569.9906617309</v>
      </c>
      <c r="L262" s="11">
        <f t="shared" si="45"/>
        <v>-178304.67487353136</v>
      </c>
      <c r="M262" s="11">
        <f t="shared" si="45"/>
        <v>-178495.22082392976</v>
      </c>
      <c r="N262" s="11">
        <f t="shared" si="45"/>
        <v>-194624.94720451048</v>
      </c>
      <c r="O262" s="11">
        <f t="shared" si="45"/>
        <v>-228461.19946539518</v>
      </c>
      <c r="P262" s="11">
        <f t="shared" si="45"/>
        <v>-228240.33043970904</v>
      </c>
    </row>
    <row r="263" spans="1:16">
      <c r="A263">
        <v>8</v>
      </c>
      <c r="B263" s="11">
        <f t="shared" si="44"/>
        <v>-156756.86057151243</v>
      </c>
      <c r="C263" s="11">
        <f t="shared" si="44"/>
        <v>-187599.93726839393</v>
      </c>
      <c r="D263" s="11">
        <f t="shared" si="44"/>
        <v>-201293.27452250384</v>
      </c>
      <c r="E263" s="11">
        <f t="shared" si="44"/>
        <v>-200126.1469763926</v>
      </c>
      <c r="F263" s="11">
        <f t="shared" si="44"/>
        <v>-186418.18971925523</v>
      </c>
      <c r="G263" s="11">
        <f t="shared" si="44"/>
        <v>-233583.38294480994</v>
      </c>
      <c r="H263" s="11">
        <f t="shared" si="44"/>
        <v>-235229.89743109839</v>
      </c>
      <c r="I263" s="11">
        <f t="shared" si="44"/>
        <v>-218439.55432169518</v>
      </c>
      <c r="J263" s="11">
        <f t="shared" si="45"/>
        <v>-219560.51077858702</v>
      </c>
      <c r="K263" s="11">
        <f t="shared" si="45"/>
        <v>-220941.73850653489</v>
      </c>
      <c r="L263" s="11">
        <f t="shared" si="45"/>
        <v>-173111.33482867124</v>
      </c>
      <c r="M263" s="11">
        <f t="shared" si="45"/>
        <v>-173296.33089701922</v>
      </c>
      <c r="N263" s="11">
        <f t="shared" si="45"/>
        <v>-188956.25942185483</v>
      </c>
      <c r="O263" s="11">
        <f t="shared" si="45"/>
        <v>-221806.98977222835</v>
      </c>
      <c r="P263" s="11">
        <f t="shared" si="45"/>
        <v>-221592.55382496025</v>
      </c>
    </row>
    <row r="264" spans="1:16">
      <c r="A264">
        <v>9</v>
      </c>
      <c r="B264" s="11">
        <f t="shared" si="44"/>
        <v>-152191.12676845866</v>
      </c>
      <c r="C264" s="11">
        <f t="shared" si="44"/>
        <v>-182135.86142562516</v>
      </c>
      <c r="D264" s="11">
        <f t="shared" si="44"/>
        <v>-195430.36361408141</v>
      </c>
      <c r="E264" s="11">
        <f t="shared" si="44"/>
        <v>-194297.23007416754</v>
      </c>
      <c r="F264" s="11">
        <f t="shared" si="44"/>
        <v>-180988.53370801479</v>
      </c>
      <c r="G264" s="11">
        <f t="shared" si="44"/>
        <v>-226779.98344156306</v>
      </c>
      <c r="H264" s="11">
        <f t="shared" si="44"/>
        <v>-228378.54119524115</v>
      </c>
      <c r="I264" s="11">
        <f t="shared" si="44"/>
        <v>-212077.23720552929</v>
      </c>
      <c r="J264" s="11">
        <f t="shared" si="45"/>
        <v>-213165.5444452301</v>
      </c>
      <c r="K264" s="11">
        <f t="shared" si="45"/>
        <v>-214506.54223935425</v>
      </c>
      <c r="L264" s="11">
        <f t="shared" si="45"/>
        <v>-168069.2571152148</v>
      </c>
      <c r="M264" s="11">
        <f t="shared" si="45"/>
        <v>-168248.86494856235</v>
      </c>
      <c r="N264" s="11">
        <f t="shared" si="45"/>
        <v>-183452.67905034451</v>
      </c>
      <c r="O264" s="11">
        <f t="shared" si="45"/>
        <v>-215346.59201187218</v>
      </c>
      <c r="P264" s="11">
        <f t="shared" si="45"/>
        <v>-215138.40177180606</v>
      </c>
    </row>
    <row r="265" spans="1:16">
      <c r="A265">
        <v>10</v>
      </c>
      <c r="B265" s="11">
        <f t="shared" si="44"/>
        <v>-147758.37550335794</v>
      </c>
      <c r="C265" s="11">
        <f t="shared" si="44"/>
        <v>-176830.93342293706</v>
      </c>
      <c r="D265" s="11">
        <f t="shared" si="44"/>
        <v>-189738.2171010499</v>
      </c>
      <c r="E265" s="11">
        <f t="shared" si="44"/>
        <v>-188638.08745064811</v>
      </c>
      <c r="F265" s="11">
        <f t="shared" si="44"/>
        <v>-175717.02301749008</v>
      </c>
      <c r="G265" s="11">
        <f t="shared" si="44"/>
        <v>-220174.74120540102</v>
      </c>
      <c r="H265" s="11">
        <f t="shared" si="44"/>
        <v>-221726.73902450598</v>
      </c>
      <c r="I265" s="11">
        <f t="shared" si="44"/>
        <v>-205900.23029663038</v>
      </c>
      <c r="J265" s="11">
        <f t="shared" si="45"/>
        <v>-206956.83926721371</v>
      </c>
      <c r="K265" s="11">
        <f t="shared" si="45"/>
        <v>-208258.77887315946</v>
      </c>
      <c r="L265" s="11">
        <f t="shared" si="45"/>
        <v>-163174.03603418914</v>
      </c>
      <c r="M265" s="11">
        <f t="shared" si="45"/>
        <v>-163348.41257141973</v>
      </c>
      <c r="N265" s="11">
        <f t="shared" si="45"/>
        <v>-178109.3971362568</v>
      </c>
      <c r="O265" s="11">
        <f t="shared" si="45"/>
        <v>-209074.36117657495</v>
      </c>
      <c r="P265" s="11">
        <f t="shared" si="45"/>
        <v>-208872.23472990879</v>
      </c>
    </row>
    <row r="266" spans="1:16">
      <c r="A266">
        <v>11</v>
      </c>
      <c r="B266" s="11">
        <f t="shared" si="44"/>
        <v>-143454.73349840575</v>
      </c>
      <c r="C266" s="11">
        <f t="shared" si="44"/>
        <v>-171680.51788634664</v>
      </c>
      <c r="D266" s="11">
        <f t="shared" si="44"/>
        <v>-184211.86126315524</v>
      </c>
      <c r="E266" s="11">
        <f t="shared" si="44"/>
        <v>-183143.7742239302</v>
      </c>
      <c r="F266" s="11">
        <f t="shared" si="44"/>
        <v>-170599.05147329133</v>
      </c>
      <c r="G266" s="11">
        <f t="shared" si="44"/>
        <v>-213761.88466543789</v>
      </c>
      <c r="H266" s="11">
        <f t="shared" si="44"/>
        <v>-215268.6786645689</v>
      </c>
      <c r="I266" s="11">
        <f t="shared" si="44"/>
        <v>-199903.13621032075</v>
      </c>
      <c r="J266" s="11">
        <f t="shared" si="45"/>
        <v>-200928.97016234338</v>
      </c>
      <c r="K266" s="11">
        <f t="shared" si="45"/>
        <v>-202192.98919724219</v>
      </c>
      <c r="L266" s="11">
        <f t="shared" si="45"/>
        <v>-158421.39420795059</v>
      </c>
      <c r="M266" s="11">
        <f t="shared" si="45"/>
        <v>-158590.69181691235</v>
      </c>
      <c r="N266" s="11">
        <f t="shared" si="45"/>
        <v>-172921.74479248232</v>
      </c>
      <c r="O266" s="11">
        <f t="shared" si="45"/>
        <v>-202984.81667628634</v>
      </c>
      <c r="P266" s="11">
        <f t="shared" si="45"/>
        <v>-202788.57740767844</v>
      </c>
    </row>
    <row r="267" spans="1:16">
      <c r="A267">
        <v>12</v>
      </c>
      <c r="B267" s="11">
        <f t="shared" ref="B267:I275" si="46">B$256/((1+$B$173)^$A267)</f>
        <v>-139276.44028971434</v>
      </c>
      <c r="C267" s="11">
        <f t="shared" si="46"/>
        <v>-166680.11445276375</v>
      </c>
      <c r="D267" s="11">
        <f t="shared" si="46"/>
        <v>-178846.46724578182</v>
      </c>
      <c r="E267" s="11">
        <f t="shared" si="46"/>
        <v>-177809.48953779633</v>
      </c>
      <c r="F267" s="11">
        <f t="shared" si="46"/>
        <v>-165630.1470614479</v>
      </c>
      <c r="G267" s="11">
        <f t="shared" si="46"/>
        <v>-207535.81035479408</v>
      </c>
      <c r="H267" s="11">
        <f t="shared" si="46"/>
        <v>-208998.71715006692</v>
      </c>
      <c r="I267" s="11">
        <f t="shared" si="46"/>
        <v>-194080.71476730175</v>
      </c>
      <c r="J267" s="11">
        <f t="shared" ref="J267:P275" si="47">J$256/((1+$B$173)^$A267)</f>
        <v>-195076.6700605276</v>
      </c>
      <c r="K267" s="11">
        <f t="shared" si="47"/>
        <v>-196303.87300703127</v>
      </c>
      <c r="L267" s="11">
        <f t="shared" si="47"/>
        <v>-153807.17884267052</v>
      </c>
      <c r="M267" s="11">
        <f t="shared" si="47"/>
        <v>-153971.54545331301</v>
      </c>
      <c r="N267" s="11">
        <f t="shared" si="47"/>
        <v>-167885.18911891489</v>
      </c>
      <c r="O267" s="11">
        <f t="shared" si="47"/>
        <v>-197072.63754979259</v>
      </c>
      <c r="P267" s="11">
        <f t="shared" si="47"/>
        <v>-196882.11398803734</v>
      </c>
    </row>
    <row r="268" spans="1:16">
      <c r="A268">
        <v>13</v>
      </c>
      <c r="B268" s="11">
        <f t="shared" si="46"/>
        <v>-135219.84494147025</v>
      </c>
      <c r="C268" s="11">
        <f t="shared" si="46"/>
        <v>-161825.35383763473</v>
      </c>
      <c r="D268" s="11">
        <f t="shared" si="46"/>
        <v>-173637.34684056489</v>
      </c>
      <c r="E268" s="11">
        <f t="shared" si="46"/>
        <v>-172630.57236679256</v>
      </c>
      <c r="F268" s="11">
        <f t="shared" si="46"/>
        <v>-160805.96802082323</v>
      </c>
      <c r="G268" s="11">
        <f t="shared" si="46"/>
        <v>-201491.07801436321</v>
      </c>
      <c r="H268" s="11">
        <f t="shared" si="46"/>
        <v>-202911.37587385139</v>
      </c>
      <c r="I268" s="11">
        <f t="shared" si="46"/>
        <v>-188427.87841485607</v>
      </c>
      <c r="J268" s="11">
        <f t="shared" si="47"/>
        <v>-189394.8253014831</v>
      </c>
      <c r="K268" s="11">
        <f t="shared" si="47"/>
        <v>-190586.28447284593</v>
      </c>
      <c r="L268" s="11">
        <f t="shared" si="47"/>
        <v>-149327.3580996801</v>
      </c>
      <c r="M268" s="11">
        <f t="shared" si="47"/>
        <v>-149486.9373333136</v>
      </c>
      <c r="N268" s="11">
        <f t="shared" si="47"/>
        <v>-162995.32924166496</v>
      </c>
      <c r="O268" s="11">
        <f t="shared" si="47"/>
        <v>-191332.65781533264</v>
      </c>
      <c r="P268" s="11">
        <f t="shared" si="47"/>
        <v>-191147.68348353141</v>
      </c>
    </row>
    <row r="269" spans="1:16">
      <c r="A269">
        <v>14</v>
      </c>
      <c r="B269" s="11">
        <f t="shared" si="46"/>
        <v>-131281.40285579633</v>
      </c>
      <c r="C269" s="11">
        <f t="shared" si="46"/>
        <v>-157111.99401712106</v>
      </c>
      <c r="D269" s="11">
        <f t="shared" si="46"/>
        <v>-168579.94838889793</v>
      </c>
      <c r="E269" s="11">
        <f t="shared" si="46"/>
        <v>-167602.49744348793</v>
      </c>
      <c r="F269" s="11">
        <f t="shared" si="46"/>
        <v>-156122.29904934292</v>
      </c>
      <c r="G269" s="11">
        <f t="shared" si="46"/>
        <v>-195622.40583918756</v>
      </c>
      <c r="H269" s="11">
        <f t="shared" si="46"/>
        <v>-197001.3357998557</v>
      </c>
      <c r="I269" s="11">
        <f t="shared" si="46"/>
        <v>-182939.68778141364</v>
      </c>
      <c r="J269" s="11">
        <f t="shared" si="47"/>
        <v>-183878.47116648842</v>
      </c>
      <c r="K269" s="11">
        <f t="shared" si="47"/>
        <v>-185035.22764353972</v>
      </c>
      <c r="L269" s="11">
        <f t="shared" si="47"/>
        <v>-144978.01757250493</v>
      </c>
      <c r="M269" s="11">
        <f t="shared" si="47"/>
        <v>-145132.94886729473</v>
      </c>
      <c r="N269" s="11">
        <f t="shared" si="47"/>
        <v>-158247.89246763586</v>
      </c>
      <c r="O269" s="11">
        <f t="shared" si="47"/>
        <v>-185759.8619566336</v>
      </c>
      <c r="P269" s="11">
        <f t="shared" si="47"/>
        <v>-185580.27522672951</v>
      </c>
    </row>
    <row r="270" spans="1:16">
      <c r="A270">
        <v>15</v>
      </c>
      <c r="B270" s="11">
        <f t="shared" si="46"/>
        <v>-127457.67267553041</v>
      </c>
      <c r="C270" s="11">
        <f t="shared" si="46"/>
        <v>-152535.91652147676</v>
      </c>
      <c r="D270" s="11">
        <f t="shared" si="46"/>
        <v>-163669.85280475524</v>
      </c>
      <c r="E270" s="11">
        <f t="shared" si="46"/>
        <v>-162720.87130435719</v>
      </c>
      <c r="F270" s="11">
        <f t="shared" si="46"/>
        <v>-151575.04762072128</v>
      </c>
      <c r="G270" s="11">
        <f t="shared" si="46"/>
        <v>-189924.66586328889</v>
      </c>
      <c r="H270" s="11">
        <f t="shared" si="46"/>
        <v>-191263.43281539387</v>
      </c>
      <c r="I270" s="11">
        <f t="shared" si="46"/>
        <v>-177611.34736059574</v>
      </c>
      <c r="J270" s="11">
        <f t="shared" si="47"/>
        <v>-178522.78754028003</v>
      </c>
      <c r="K270" s="11">
        <f t="shared" si="47"/>
        <v>-179645.85208110651</v>
      </c>
      <c r="L270" s="11">
        <f t="shared" si="47"/>
        <v>-140755.35686650965</v>
      </c>
      <c r="M270" s="11">
        <f t="shared" si="47"/>
        <v>-140905.77559931527</v>
      </c>
      <c r="N270" s="11">
        <f t="shared" si="47"/>
        <v>-153638.73055110278</v>
      </c>
      <c r="O270" s="11">
        <f t="shared" si="47"/>
        <v>-180349.38054042097</v>
      </c>
      <c r="P270" s="11">
        <f t="shared" si="47"/>
        <v>-180175.0244919704</v>
      </c>
    </row>
    <row r="271" spans="1:16">
      <c r="A271">
        <v>16</v>
      </c>
      <c r="B271" s="11">
        <f t="shared" si="46"/>
        <v>-123745.31327721401</v>
      </c>
      <c r="C271" s="11">
        <f t="shared" si="46"/>
        <v>-148093.12283638524</v>
      </c>
      <c r="D271" s="11">
        <f t="shared" si="46"/>
        <v>-158902.76971335465</v>
      </c>
      <c r="E271" s="11">
        <f t="shared" si="46"/>
        <v>-157981.42845083226</v>
      </c>
      <c r="F271" s="11">
        <f t="shared" si="46"/>
        <v>-147160.24040846727</v>
      </c>
      <c r="G271" s="11">
        <f t="shared" si="46"/>
        <v>-184392.87947892127</v>
      </c>
      <c r="H271" s="11">
        <f t="shared" si="46"/>
        <v>-185692.65321882904</v>
      </c>
      <c r="I271" s="11">
        <f t="shared" si="46"/>
        <v>-172438.20132096679</v>
      </c>
      <c r="J271" s="11">
        <f t="shared" si="47"/>
        <v>-173323.09469930103</v>
      </c>
      <c r="K271" s="11">
        <f t="shared" si="47"/>
        <v>-174413.44862243353</v>
      </c>
      <c r="L271" s="11">
        <f t="shared" si="47"/>
        <v>-136655.68627816474</v>
      </c>
      <c r="M271" s="11">
        <f t="shared" si="47"/>
        <v>-136801.72388283038</v>
      </c>
      <c r="N271" s="11">
        <f t="shared" si="47"/>
        <v>-149163.81606903183</v>
      </c>
      <c r="O271" s="11">
        <f t="shared" si="47"/>
        <v>-175096.48596157378</v>
      </c>
      <c r="P271" s="11">
        <f t="shared" si="47"/>
        <v>-174927.20824463147</v>
      </c>
    </row>
    <row r="272" spans="1:16">
      <c r="A272">
        <v>17</v>
      </c>
      <c r="B272" s="11">
        <f t="shared" si="46"/>
        <v>-120141.0808516641</v>
      </c>
      <c r="C272" s="11">
        <f t="shared" si="46"/>
        <v>-143779.73090911188</v>
      </c>
      <c r="D272" s="11">
        <f t="shared" si="46"/>
        <v>-154274.53370228605</v>
      </c>
      <c r="E272" s="11">
        <f t="shared" si="46"/>
        <v>-153380.02762216722</v>
      </c>
      <c r="F272" s="11">
        <f t="shared" si="46"/>
        <v>-142874.0198140459</v>
      </c>
      <c r="G272" s="11">
        <f t="shared" si="46"/>
        <v>-179022.21308633132</v>
      </c>
      <c r="H272" s="11">
        <f t="shared" si="46"/>
        <v>-180284.12933866898</v>
      </c>
      <c r="I272" s="11">
        <f t="shared" si="46"/>
        <v>-167415.72943783182</v>
      </c>
      <c r="J272" s="11">
        <f t="shared" si="47"/>
        <v>-168274.84922262235</v>
      </c>
      <c r="K272" s="11">
        <f t="shared" si="47"/>
        <v>-169333.44526449856</v>
      </c>
      <c r="L272" s="11">
        <f t="shared" si="47"/>
        <v>-132675.42357103372</v>
      </c>
      <c r="M272" s="11">
        <f t="shared" si="47"/>
        <v>-132817.20765323337</v>
      </c>
      <c r="N272" s="11">
        <f t="shared" si="47"/>
        <v>-144819.23890197265</v>
      </c>
      <c r="O272" s="11">
        <f t="shared" si="47"/>
        <v>-169996.58831220755</v>
      </c>
      <c r="P272" s="11">
        <f t="shared" si="47"/>
        <v>-169832.24101420533</v>
      </c>
    </row>
    <row r="273" spans="1:16">
      <c r="A273">
        <v>18</v>
      </c>
      <c r="B273" s="11">
        <f t="shared" si="46"/>
        <v>-116641.82606957678</v>
      </c>
      <c r="C273" s="11">
        <f t="shared" si="46"/>
        <v>-139591.97175641928</v>
      </c>
      <c r="D273" s="11">
        <f t="shared" si="46"/>
        <v>-149781.10068183113</v>
      </c>
      <c r="E273" s="11">
        <f t="shared" si="46"/>
        <v>-148912.64817686137</v>
      </c>
      <c r="F273" s="11">
        <f t="shared" si="46"/>
        <v>-138712.64059616107</v>
      </c>
      <c r="G273" s="11">
        <f t="shared" si="46"/>
        <v>-173807.97387022458</v>
      </c>
      <c r="H273" s="11">
        <f t="shared" si="46"/>
        <v>-175033.13528026114</v>
      </c>
      <c r="I273" s="11">
        <f t="shared" si="46"/>
        <v>-162539.54314352604</v>
      </c>
      <c r="J273" s="11">
        <f t="shared" si="47"/>
        <v>-163373.64002196345</v>
      </c>
      <c r="K273" s="11">
        <f t="shared" si="47"/>
        <v>-164401.40316941609</v>
      </c>
      <c r="L273" s="11">
        <f t="shared" si="47"/>
        <v>-128811.0908456638</v>
      </c>
      <c r="M273" s="11">
        <f t="shared" si="47"/>
        <v>-128948.74529440135</v>
      </c>
      <c r="N273" s="11">
        <f t="shared" si="47"/>
        <v>-140601.2028174492</v>
      </c>
      <c r="O273" s="11">
        <f t="shared" si="47"/>
        <v>-165045.23137107529</v>
      </c>
      <c r="P273" s="11">
        <f t="shared" si="47"/>
        <v>-164885.67088757796</v>
      </c>
    </row>
    <row r="274" spans="1:16">
      <c r="A274">
        <v>19</v>
      </c>
      <c r="B274" s="11">
        <f t="shared" si="46"/>
        <v>-113244.49132968621</v>
      </c>
      <c r="C274" s="11">
        <f t="shared" si="46"/>
        <v>-135526.18617128086</v>
      </c>
      <c r="D274" s="11">
        <f t="shared" si="46"/>
        <v>-145418.54435129237</v>
      </c>
      <c r="E274" s="11">
        <f t="shared" si="46"/>
        <v>-144575.38657947708</v>
      </c>
      <c r="F274" s="11">
        <f t="shared" si="46"/>
        <v>-134672.46659821464</v>
      </c>
      <c r="G274" s="11">
        <f t="shared" si="46"/>
        <v>-168745.60569924719</v>
      </c>
      <c r="H274" s="11">
        <f t="shared" si="46"/>
        <v>-169935.08279637003</v>
      </c>
      <c r="I274" s="11">
        <f t="shared" si="46"/>
        <v>-157805.38169274374</v>
      </c>
      <c r="J274" s="11">
        <f t="shared" si="47"/>
        <v>-158615.18448734315</v>
      </c>
      <c r="K274" s="11">
        <f t="shared" si="47"/>
        <v>-159613.01278584087</v>
      </c>
      <c r="L274" s="11">
        <f t="shared" si="47"/>
        <v>-125059.31150064447</v>
      </c>
      <c r="M274" s="11">
        <f t="shared" si="47"/>
        <v>-125192.95659650616</v>
      </c>
      <c r="N274" s="11">
        <f t="shared" si="47"/>
        <v>-136506.0221528633</v>
      </c>
      <c r="O274" s="11">
        <f t="shared" si="47"/>
        <v>-160238.08870978185</v>
      </c>
      <c r="P274" s="11">
        <f t="shared" si="47"/>
        <v>-160083.17561900776</v>
      </c>
    </row>
    <row r="275" spans="1:16">
      <c r="A275">
        <v>20</v>
      </c>
      <c r="B275" s="11">
        <f t="shared" si="46"/>
        <v>-109946.10808707398</v>
      </c>
      <c r="C275" s="11">
        <f t="shared" si="46"/>
        <v>-131578.82152551541</v>
      </c>
      <c r="D275" s="11">
        <f t="shared" si="46"/>
        <v>-141183.05276824502</v>
      </c>
      <c r="E275" s="11">
        <f t="shared" si="46"/>
        <v>-140364.45298978357</v>
      </c>
      <c r="F275" s="11">
        <f t="shared" si="46"/>
        <v>-130749.96757108218</v>
      </c>
      <c r="G275" s="11">
        <f t="shared" si="46"/>
        <v>-163830.68514490017</v>
      </c>
      <c r="H275" s="11">
        <f t="shared" si="46"/>
        <v>-164985.51727802918</v>
      </c>
      <c r="I275" s="11">
        <f t="shared" si="46"/>
        <v>-153209.10843955702</v>
      </c>
      <c r="J275" s="11">
        <f t="shared" si="47"/>
        <v>-153995.32474499336</v>
      </c>
      <c r="K275" s="11">
        <f t="shared" si="47"/>
        <v>-154964.09008334065</v>
      </c>
      <c r="L275" s="11">
        <f t="shared" si="47"/>
        <v>-121416.8072821791</v>
      </c>
      <c r="M275" s="11">
        <f t="shared" si="47"/>
        <v>-121546.55980243317</v>
      </c>
      <c r="N275" s="11">
        <f t="shared" si="47"/>
        <v>-132530.1185950129</v>
      </c>
      <c r="O275" s="11">
        <f t="shared" si="47"/>
        <v>-155570.95991240957</v>
      </c>
      <c r="P275" s="11">
        <f t="shared" si="47"/>
        <v>-155420.55885340559</v>
      </c>
    </row>
    <row r="276" spans="1:16">
      <c r="B276" s="11"/>
      <c r="C276" s="11"/>
      <c r="D276" s="11"/>
      <c r="E276" s="11"/>
      <c r="F276" s="11"/>
      <c r="G276" s="11"/>
      <c r="H276" s="11"/>
      <c r="I276" s="11"/>
      <c r="J276" s="11"/>
      <c r="K276" s="11"/>
      <c r="L276" s="11"/>
      <c r="M276" s="11"/>
      <c r="N276" s="11"/>
      <c r="O276" s="11"/>
      <c r="P276" s="11"/>
    </row>
    <row r="277" spans="1:16">
      <c r="A277" t="s">
        <v>282</v>
      </c>
      <c r="B277" s="11">
        <f t="shared" ref="B277:P277" si="48">SUM(B256:B275)+B234</f>
        <v>-2960076.8328868891</v>
      </c>
      <c r="C277" s="11">
        <f t="shared" si="48"/>
        <v>-3542493.9370093741</v>
      </c>
      <c r="D277" s="11">
        <f t="shared" si="48"/>
        <v>-3801068.4595088633</v>
      </c>
      <c r="E277" s="11">
        <f t="shared" si="48"/>
        <v>-3779029.3143150099</v>
      </c>
      <c r="F277" s="11">
        <f t="shared" si="48"/>
        <v>-3520178.7188442941</v>
      </c>
      <c r="G277" s="11">
        <f t="shared" si="48"/>
        <v>-4410810.2055721553</v>
      </c>
      <c r="H277" s="11">
        <f t="shared" si="48"/>
        <v>-4441901.7276153127</v>
      </c>
      <c r="I277" s="11">
        <f t="shared" si="48"/>
        <v>-4124845.7118647732</v>
      </c>
      <c r="J277" s="11">
        <f t="shared" si="48"/>
        <v>-4146012.9974727072</v>
      </c>
      <c r="K277" s="11">
        <f t="shared" si="48"/>
        <v>-4213253.3069825871</v>
      </c>
      <c r="L277" s="11">
        <f t="shared" si="48"/>
        <v>-3310060.4941239594</v>
      </c>
      <c r="M277" s="11">
        <f t="shared" si="48"/>
        <v>-3313553.8185889651</v>
      </c>
      <c r="N277" s="11">
        <f t="shared" si="48"/>
        <v>-3609263.9486721302</v>
      </c>
      <c r="O277" s="11">
        <f t="shared" si="48"/>
        <v>-4229592.051053293</v>
      </c>
      <c r="P277" s="11">
        <f t="shared" si="48"/>
        <v>-4225542.806399297</v>
      </c>
    </row>
    <row r="279" spans="1:16">
      <c r="A279" t="s">
        <v>101</v>
      </c>
    </row>
    <row r="280" spans="1:16">
      <c r="A280" t="s">
        <v>100</v>
      </c>
    </row>
    <row r="281" spans="1:16">
      <c r="A281">
        <v>1</v>
      </c>
      <c r="B281" s="11">
        <f t="shared" ref="B281:P281" si="49">-$B$177*B242</f>
        <v>-884786.28</v>
      </c>
      <c r="C281" s="11">
        <f t="shared" si="49"/>
        <v>-799445.19200000004</v>
      </c>
      <c r="D281" s="11">
        <f t="shared" si="49"/>
        <v>-763677.23600000003</v>
      </c>
      <c r="E281" s="11">
        <f t="shared" si="49"/>
        <v>-763049.72800000012</v>
      </c>
      <c r="F281" s="11">
        <f t="shared" si="49"/>
        <v>-640058.16</v>
      </c>
      <c r="G281" s="11">
        <f t="shared" si="49"/>
        <v>-717869.152</v>
      </c>
      <c r="H281" s="11">
        <f t="shared" si="49"/>
        <v>-717241.64400000009</v>
      </c>
      <c r="I281" s="11">
        <f t="shared" si="49"/>
        <v>-603035.18799999997</v>
      </c>
      <c r="J281" s="11">
        <f t="shared" si="49"/>
        <v>-605545.2200000002</v>
      </c>
      <c r="K281" s="11">
        <f t="shared" si="49"/>
        <v>-501378.89199999999</v>
      </c>
      <c r="L281" s="11">
        <f t="shared" si="49"/>
        <v>-277986.04399999999</v>
      </c>
      <c r="M281" s="11">
        <f t="shared" si="49"/>
        <v>-280496.076</v>
      </c>
      <c r="N281" s="11">
        <f t="shared" si="49"/>
        <v>-262298.34399999998</v>
      </c>
      <c r="O281" s="11">
        <f t="shared" si="49"/>
        <v>-307478.92000000004</v>
      </c>
      <c r="P281" s="11">
        <f t="shared" si="49"/>
        <v>-254140.73999999996</v>
      </c>
    </row>
    <row r="282" spans="1:16">
      <c r="A282">
        <v>2</v>
      </c>
      <c r="B282" s="11">
        <f t="shared" ref="B282:I291" si="50">B$281/((1+$B$173)^$A282)</f>
        <v>-833995.92798567261</v>
      </c>
      <c r="C282" s="11">
        <f t="shared" si="50"/>
        <v>-753553.76755584893</v>
      </c>
      <c r="D282" s="11">
        <f t="shared" si="50"/>
        <v>-719839.03855217271</v>
      </c>
      <c r="E282" s="11">
        <f t="shared" si="50"/>
        <v>-719247.55207842414</v>
      </c>
      <c r="F282" s="11">
        <f t="shared" si="50"/>
        <v>-603316.20322367805</v>
      </c>
      <c r="G282" s="11">
        <f t="shared" si="50"/>
        <v>-676660.52596851729</v>
      </c>
      <c r="H282" s="11">
        <f t="shared" si="50"/>
        <v>-676069.03949476872</v>
      </c>
      <c r="I282" s="11">
        <f t="shared" si="50"/>
        <v>-568418.50127250445</v>
      </c>
      <c r="J282" s="11">
        <f t="shared" ref="J282:P291" si="51">J$281/((1+$B$173)^$A282)</f>
        <v>-570784.44716749946</v>
      </c>
      <c r="K282" s="11">
        <f t="shared" si="51"/>
        <v>-472597.69252521446</v>
      </c>
      <c r="L282" s="11">
        <f t="shared" si="51"/>
        <v>-262028.50787067585</v>
      </c>
      <c r="M282" s="11">
        <f t="shared" si="51"/>
        <v>-264394.45376567065</v>
      </c>
      <c r="N282" s="11">
        <f t="shared" si="51"/>
        <v>-247241.34602695823</v>
      </c>
      <c r="O282" s="11">
        <f t="shared" si="51"/>
        <v>-289828.37213686499</v>
      </c>
      <c r="P282" s="11">
        <f t="shared" si="51"/>
        <v>-239552.02186822507</v>
      </c>
    </row>
    <row r="283" spans="1:16">
      <c r="A283">
        <v>3</v>
      </c>
      <c r="B283" s="11">
        <f t="shared" si="50"/>
        <v>-809704.78445210925</v>
      </c>
      <c r="C283" s="11">
        <f t="shared" si="50"/>
        <v>-731605.59956878528</v>
      </c>
      <c r="D283" s="11">
        <f t="shared" si="50"/>
        <v>-698872.85296327446</v>
      </c>
      <c r="E283" s="11">
        <f t="shared" si="50"/>
        <v>-698298.59425089718</v>
      </c>
      <c r="F283" s="11">
        <f t="shared" si="50"/>
        <v>-585743.88662493008</v>
      </c>
      <c r="G283" s="11">
        <f t="shared" si="50"/>
        <v>-656951.96695972548</v>
      </c>
      <c r="H283" s="11">
        <f t="shared" si="50"/>
        <v>-656377.7082473482</v>
      </c>
      <c r="I283" s="11">
        <f t="shared" si="50"/>
        <v>-551862.62259466446</v>
      </c>
      <c r="J283" s="11">
        <f t="shared" si="51"/>
        <v>-554159.65744417429</v>
      </c>
      <c r="K283" s="11">
        <f t="shared" si="51"/>
        <v>-458832.71118952858</v>
      </c>
      <c r="L283" s="11">
        <f t="shared" si="51"/>
        <v>-254396.60958318043</v>
      </c>
      <c r="M283" s="11">
        <f t="shared" si="51"/>
        <v>-256693.64443268997</v>
      </c>
      <c r="N283" s="11">
        <f t="shared" si="51"/>
        <v>-240040.14177374585</v>
      </c>
      <c r="O283" s="11">
        <f t="shared" si="51"/>
        <v>-281386.76906491746</v>
      </c>
      <c r="P283" s="11">
        <f t="shared" si="51"/>
        <v>-232574.77851283987</v>
      </c>
    </row>
    <row r="284" spans="1:16">
      <c r="A284">
        <v>4</v>
      </c>
      <c r="B284" s="11">
        <f t="shared" si="50"/>
        <v>-786121.14995350421</v>
      </c>
      <c r="C284" s="11">
        <f t="shared" si="50"/>
        <v>-710296.69861047121</v>
      </c>
      <c r="D284" s="11">
        <f t="shared" si="50"/>
        <v>-678517.33297405299</v>
      </c>
      <c r="E284" s="11">
        <f t="shared" si="50"/>
        <v>-677959.80024358956</v>
      </c>
      <c r="F284" s="11">
        <f t="shared" si="50"/>
        <v>-568683.38507274771</v>
      </c>
      <c r="G284" s="11">
        <f t="shared" si="50"/>
        <v>-637817.44365021901</v>
      </c>
      <c r="H284" s="11">
        <f t="shared" si="50"/>
        <v>-637259.91091975558</v>
      </c>
      <c r="I284" s="11">
        <f t="shared" si="50"/>
        <v>-535788.95397540252</v>
      </c>
      <c r="J284" s="11">
        <f t="shared" si="51"/>
        <v>-538019.08489725657</v>
      </c>
      <c r="K284" s="11">
        <f t="shared" si="51"/>
        <v>-445468.65164031903</v>
      </c>
      <c r="L284" s="11">
        <f t="shared" si="51"/>
        <v>-246986.99959532081</v>
      </c>
      <c r="M284" s="11">
        <f t="shared" si="51"/>
        <v>-249217.13051717472</v>
      </c>
      <c r="N284" s="11">
        <f t="shared" si="51"/>
        <v>-233048.68133373387</v>
      </c>
      <c r="O284" s="11">
        <f t="shared" si="51"/>
        <v>-273191.03792710433</v>
      </c>
      <c r="P284" s="11">
        <f t="shared" si="51"/>
        <v>-225800.75583770862</v>
      </c>
    </row>
    <row r="285" spans="1:16">
      <c r="A285">
        <v>5</v>
      </c>
      <c r="B285" s="11">
        <f t="shared" si="50"/>
        <v>-763224.41743058665</v>
      </c>
      <c r="C285" s="11">
        <f t="shared" si="50"/>
        <v>-689608.44525288476</v>
      </c>
      <c r="D285" s="11">
        <f t="shared" si="50"/>
        <v>-658754.69220781839</v>
      </c>
      <c r="E285" s="11">
        <f t="shared" si="50"/>
        <v>-658213.39829474723</v>
      </c>
      <c r="F285" s="11">
        <f t="shared" si="50"/>
        <v>-552119.79133276478</v>
      </c>
      <c r="G285" s="11">
        <f t="shared" si="50"/>
        <v>-619240.23655361077</v>
      </c>
      <c r="H285" s="11">
        <f t="shared" si="50"/>
        <v>-618698.94264053949</v>
      </c>
      <c r="I285" s="11">
        <f t="shared" si="50"/>
        <v>-520183.45046155585</v>
      </c>
      <c r="J285" s="11">
        <f t="shared" si="51"/>
        <v>-522348.62611384137</v>
      </c>
      <c r="K285" s="11">
        <f t="shared" si="51"/>
        <v>-432493.83654399909</v>
      </c>
      <c r="L285" s="11">
        <f t="shared" si="51"/>
        <v>-239793.20349060275</v>
      </c>
      <c r="M285" s="11">
        <f t="shared" si="51"/>
        <v>-241958.37914288809</v>
      </c>
      <c r="N285" s="11">
        <f t="shared" si="51"/>
        <v>-226260.8556638193</v>
      </c>
      <c r="O285" s="11">
        <f t="shared" si="51"/>
        <v>-265234.0174049557</v>
      </c>
      <c r="P285" s="11">
        <f t="shared" si="51"/>
        <v>-219224.03479389189</v>
      </c>
    </row>
    <row r="286" spans="1:16">
      <c r="A286">
        <v>6</v>
      </c>
      <c r="B286" s="11">
        <f t="shared" si="50"/>
        <v>-740994.58002969576</v>
      </c>
      <c r="C286" s="11">
        <f t="shared" si="50"/>
        <v>-669522.76238144143</v>
      </c>
      <c r="D286" s="11">
        <f t="shared" si="50"/>
        <v>-639567.6623376878</v>
      </c>
      <c r="E286" s="11">
        <f t="shared" si="50"/>
        <v>-639042.13426674483</v>
      </c>
      <c r="F286" s="11">
        <f t="shared" si="50"/>
        <v>-536038.63236190763</v>
      </c>
      <c r="G286" s="11">
        <f t="shared" si="50"/>
        <v>-601204.11315884534</v>
      </c>
      <c r="H286" s="11">
        <f t="shared" si="50"/>
        <v>-600678.58508790238</v>
      </c>
      <c r="I286" s="11">
        <f t="shared" si="50"/>
        <v>-505032.47617626778</v>
      </c>
      <c r="J286" s="11">
        <f t="shared" si="51"/>
        <v>-507134.58846004016</v>
      </c>
      <c r="K286" s="11">
        <f t="shared" si="51"/>
        <v>-419896.92868349422</v>
      </c>
      <c r="L286" s="11">
        <f t="shared" si="51"/>
        <v>-232808.93542776964</v>
      </c>
      <c r="M286" s="11">
        <f t="shared" si="51"/>
        <v>-234911.04771154185</v>
      </c>
      <c r="N286" s="11">
        <f t="shared" si="51"/>
        <v>-219670.73365419346</v>
      </c>
      <c r="O286" s="11">
        <f t="shared" si="51"/>
        <v>-257508.75476209287</v>
      </c>
      <c r="P286" s="11">
        <f t="shared" si="51"/>
        <v>-212838.86873193385</v>
      </c>
    </row>
    <row r="287" spans="1:16">
      <c r="A287">
        <v>7</v>
      </c>
      <c r="B287" s="11">
        <f t="shared" si="50"/>
        <v>-719412.21362106374</v>
      </c>
      <c r="C287" s="11">
        <f t="shared" si="50"/>
        <v>-650022.09939945769</v>
      </c>
      <c r="D287" s="11">
        <f t="shared" si="50"/>
        <v>-620939.47799775505</v>
      </c>
      <c r="E287" s="11">
        <f t="shared" si="50"/>
        <v>-620429.25656965515</v>
      </c>
      <c r="F287" s="11">
        <f t="shared" si="50"/>
        <v>-520425.85666204616</v>
      </c>
      <c r="G287" s="11">
        <f t="shared" si="50"/>
        <v>-583693.31374645175</v>
      </c>
      <c r="H287" s="11">
        <f t="shared" si="50"/>
        <v>-583183.09231835173</v>
      </c>
      <c r="I287" s="11">
        <f t="shared" si="50"/>
        <v>-490322.79240414343</v>
      </c>
      <c r="J287" s="11">
        <f t="shared" si="51"/>
        <v>-492363.6781165438</v>
      </c>
      <c r="K287" s="11">
        <f t="shared" si="51"/>
        <v>-407666.92105193611</v>
      </c>
      <c r="L287" s="11">
        <f t="shared" si="51"/>
        <v>-226028.09264832005</v>
      </c>
      <c r="M287" s="11">
        <f t="shared" si="51"/>
        <v>-228068.97836072021</v>
      </c>
      <c r="N287" s="11">
        <f t="shared" si="51"/>
        <v>-213272.55694581888</v>
      </c>
      <c r="O287" s="11">
        <f t="shared" si="51"/>
        <v>-250008.49976902219</v>
      </c>
      <c r="P287" s="11">
        <f t="shared" si="51"/>
        <v>-206639.67838051828</v>
      </c>
    </row>
    <row r="288" spans="1:16">
      <c r="A288">
        <v>8</v>
      </c>
      <c r="B288" s="11">
        <f t="shared" si="50"/>
        <v>-698458.45982627559</v>
      </c>
      <c r="C288" s="11">
        <f t="shared" si="50"/>
        <v>-631089.41689267743</v>
      </c>
      <c r="D288" s="11">
        <f t="shared" si="50"/>
        <v>-602853.86213374289</v>
      </c>
      <c r="E288" s="11">
        <f t="shared" si="50"/>
        <v>-602358.5015239371</v>
      </c>
      <c r="F288" s="11">
        <f t="shared" si="50"/>
        <v>-505267.82200198661</v>
      </c>
      <c r="G288" s="11">
        <f t="shared" si="50"/>
        <v>-566692.53761791438</v>
      </c>
      <c r="H288" s="11">
        <f t="shared" si="50"/>
        <v>-566197.17700810859</v>
      </c>
      <c r="I288" s="11">
        <f t="shared" si="50"/>
        <v>-476041.54602344031</v>
      </c>
      <c r="J288" s="11">
        <f t="shared" si="51"/>
        <v>-478022.98846266395</v>
      </c>
      <c r="K288" s="11">
        <f t="shared" si="51"/>
        <v>-395793.12723488949</v>
      </c>
      <c r="L288" s="11">
        <f t="shared" si="51"/>
        <v>-219444.75014400005</v>
      </c>
      <c r="M288" s="11">
        <f t="shared" si="51"/>
        <v>-221426.19258322354</v>
      </c>
      <c r="N288" s="11">
        <f t="shared" si="51"/>
        <v>-207060.73489885332</v>
      </c>
      <c r="O288" s="11">
        <f t="shared" si="51"/>
        <v>-242726.69880487595</v>
      </c>
      <c r="P288" s="11">
        <f t="shared" si="51"/>
        <v>-200621.04697137701</v>
      </c>
    </row>
    <row r="289" spans="1:16">
      <c r="A289">
        <v>9</v>
      </c>
      <c r="B289" s="11">
        <f t="shared" si="50"/>
        <v>-678115.00954007334</v>
      </c>
      <c r="C289" s="11">
        <f t="shared" si="50"/>
        <v>-612708.17174046347</v>
      </c>
      <c r="D289" s="11">
        <f t="shared" si="50"/>
        <v>-585295.01178033289</v>
      </c>
      <c r="E289" s="11">
        <f t="shared" si="50"/>
        <v>-584814.07914945344</v>
      </c>
      <c r="F289" s="11">
        <f t="shared" si="50"/>
        <v>-490551.28349707439</v>
      </c>
      <c r="G289" s="11">
        <f t="shared" si="50"/>
        <v>-550186.92972613045</v>
      </c>
      <c r="H289" s="11">
        <f t="shared" si="50"/>
        <v>-549705.99709525099</v>
      </c>
      <c r="I289" s="11">
        <f t="shared" si="50"/>
        <v>-462176.25827518472</v>
      </c>
      <c r="J289" s="11">
        <f t="shared" si="51"/>
        <v>-464099.98879870283</v>
      </c>
      <c r="K289" s="11">
        <f t="shared" si="51"/>
        <v>-384265.17207270826</v>
      </c>
      <c r="L289" s="11">
        <f t="shared" si="51"/>
        <v>-213053.15547961171</v>
      </c>
      <c r="M289" s="11">
        <f t="shared" si="51"/>
        <v>-214976.88600312965</v>
      </c>
      <c r="N289" s="11">
        <f t="shared" si="51"/>
        <v>-201029.83970762457</v>
      </c>
      <c r="O289" s="11">
        <f t="shared" si="51"/>
        <v>-235656.98913094751</v>
      </c>
      <c r="P289" s="11">
        <f t="shared" si="51"/>
        <v>-194777.71550619125</v>
      </c>
    </row>
    <row r="290" spans="1:16">
      <c r="A290">
        <v>10</v>
      </c>
      <c r="B290" s="11">
        <f t="shared" si="50"/>
        <v>-658364.08693211013</v>
      </c>
      <c r="C290" s="11">
        <f t="shared" si="50"/>
        <v>-594862.30266064417</v>
      </c>
      <c r="D290" s="11">
        <f t="shared" si="50"/>
        <v>-568247.58425275038</v>
      </c>
      <c r="E290" s="11">
        <f t="shared" si="50"/>
        <v>-567780.65936840139</v>
      </c>
      <c r="F290" s="11">
        <f t="shared" si="50"/>
        <v>-476263.38203599455</v>
      </c>
      <c r="G290" s="11">
        <f t="shared" si="50"/>
        <v>-534162.06769527227</v>
      </c>
      <c r="H290" s="11">
        <f t="shared" si="50"/>
        <v>-533695.14281092328</v>
      </c>
      <c r="I290" s="11">
        <f t="shared" si="50"/>
        <v>-448714.81385940267</v>
      </c>
      <c r="J290" s="11">
        <f t="shared" si="51"/>
        <v>-450582.51339679887</v>
      </c>
      <c r="K290" s="11">
        <f t="shared" si="51"/>
        <v>-373072.98259486235</v>
      </c>
      <c r="L290" s="11">
        <f t="shared" si="51"/>
        <v>-206847.72376661329</v>
      </c>
      <c r="M290" s="11">
        <f t="shared" si="51"/>
        <v>-208715.42330400937</v>
      </c>
      <c r="N290" s="11">
        <f t="shared" si="51"/>
        <v>-195174.60165788795</v>
      </c>
      <c r="O290" s="11">
        <f t="shared" si="51"/>
        <v>-228793.19333101701</v>
      </c>
      <c r="P290" s="11">
        <f t="shared" si="51"/>
        <v>-189104.57816135074</v>
      </c>
    </row>
    <row r="291" spans="1:16">
      <c r="A291">
        <v>11</v>
      </c>
      <c r="B291" s="11">
        <f t="shared" si="50"/>
        <v>-639188.43391467002</v>
      </c>
      <c r="C291" s="11">
        <f t="shared" si="50"/>
        <v>-577536.21617538261</v>
      </c>
      <c r="D291" s="11">
        <f t="shared" si="50"/>
        <v>-551696.68374053424</v>
      </c>
      <c r="E291" s="11">
        <f t="shared" si="50"/>
        <v>-551243.35861009837</v>
      </c>
      <c r="F291" s="11">
        <f t="shared" si="50"/>
        <v>-462391.63304465485</v>
      </c>
      <c r="G291" s="11">
        <f t="shared" si="50"/>
        <v>-518603.94921871094</v>
      </c>
      <c r="H291" s="11">
        <f t="shared" si="50"/>
        <v>-518150.62408827507</v>
      </c>
      <c r="I291" s="11">
        <f t="shared" si="50"/>
        <v>-435645.45034893462</v>
      </c>
      <c r="J291" s="11">
        <f t="shared" si="51"/>
        <v>-437458.75087067852</v>
      </c>
      <c r="K291" s="11">
        <f t="shared" si="51"/>
        <v>-362206.77921831293</v>
      </c>
      <c r="L291" s="11">
        <f t="shared" si="51"/>
        <v>-200823.03278311971</v>
      </c>
      <c r="M291" s="11">
        <f t="shared" si="51"/>
        <v>-202636.33330486345</v>
      </c>
      <c r="N291" s="11">
        <f t="shared" si="51"/>
        <v>-189489.9045222213</v>
      </c>
      <c r="O291" s="11">
        <f t="shared" si="51"/>
        <v>-222129.31391360873</v>
      </c>
      <c r="P291" s="11">
        <f t="shared" si="51"/>
        <v>-183596.67782655411</v>
      </c>
    </row>
    <row r="292" spans="1:16">
      <c r="A292">
        <v>12</v>
      </c>
      <c r="B292" s="11">
        <f t="shared" ref="B292:I300" si="52">B$281/((1+$B$173)^$A292)</f>
        <v>-620571.29506278643</v>
      </c>
      <c r="C292" s="11">
        <f t="shared" si="52"/>
        <v>-560714.77298580843</v>
      </c>
      <c r="D292" s="11">
        <f t="shared" si="52"/>
        <v>-535627.84829178092</v>
      </c>
      <c r="E292" s="11">
        <f t="shared" si="52"/>
        <v>-535187.72680592083</v>
      </c>
      <c r="F292" s="11">
        <f t="shared" si="52"/>
        <v>-448923.91557733488</v>
      </c>
      <c r="G292" s="11">
        <f t="shared" si="52"/>
        <v>-503498.97982399125</v>
      </c>
      <c r="H292" s="11">
        <f t="shared" si="52"/>
        <v>-503058.85833813122</v>
      </c>
      <c r="I292" s="11">
        <f t="shared" si="52"/>
        <v>-422956.74791158707</v>
      </c>
      <c r="J292" s="11">
        <f t="shared" ref="J292:P300" si="53">J$281/((1+$B$173)^$A292)</f>
        <v>-424717.23385502776</v>
      </c>
      <c r="K292" s="11">
        <f t="shared" si="53"/>
        <v>-351657.06720224564</v>
      </c>
      <c r="L292" s="11">
        <f t="shared" si="53"/>
        <v>-194973.81823603858</v>
      </c>
      <c r="M292" s="11">
        <f t="shared" si="53"/>
        <v>-196734.30417947911</v>
      </c>
      <c r="N292" s="11">
        <f t="shared" si="53"/>
        <v>-183970.78108953527</v>
      </c>
      <c r="O292" s="11">
        <f t="shared" si="53"/>
        <v>-215659.52807146483</v>
      </c>
      <c r="P292" s="11">
        <f t="shared" si="53"/>
        <v>-178249.20177335353</v>
      </c>
    </row>
    <row r="293" spans="1:16">
      <c r="A293">
        <v>13</v>
      </c>
      <c r="B293" s="11">
        <f t="shared" si="52"/>
        <v>-602496.40297357913</v>
      </c>
      <c r="C293" s="11">
        <f t="shared" si="52"/>
        <v>-544383.27474350343</v>
      </c>
      <c r="D293" s="11">
        <f t="shared" si="52"/>
        <v>-520027.0371764864</v>
      </c>
      <c r="E293" s="11">
        <f t="shared" si="52"/>
        <v>-519599.73476303002</v>
      </c>
      <c r="F293" s="11">
        <f t="shared" si="52"/>
        <v>-435848.46172556787</v>
      </c>
      <c r="G293" s="11">
        <f t="shared" si="52"/>
        <v>-488833.96099416632</v>
      </c>
      <c r="H293" s="11">
        <f t="shared" si="52"/>
        <v>-488406.65858070995</v>
      </c>
      <c r="I293" s="11">
        <f t="shared" si="52"/>
        <v>-410637.61933163792</v>
      </c>
      <c r="J293" s="11">
        <f t="shared" si="53"/>
        <v>-412346.82898546383</v>
      </c>
      <c r="K293" s="11">
        <f t="shared" si="53"/>
        <v>-341414.62835169485</v>
      </c>
      <c r="L293" s="11">
        <f t="shared" si="53"/>
        <v>-189294.96916120252</v>
      </c>
      <c r="M293" s="11">
        <f t="shared" si="53"/>
        <v>-191004.17881502828</v>
      </c>
      <c r="N293" s="11">
        <f t="shared" si="53"/>
        <v>-178612.40882479152</v>
      </c>
      <c r="O293" s="11">
        <f t="shared" si="53"/>
        <v>-209378.18259365519</v>
      </c>
      <c r="P293" s="11">
        <f t="shared" si="53"/>
        <v>-173057.4774498578</v>
      </c>
    </row>
    <row r="294" spans="1:16">
      <c r="A294">
        <v>14</v>
      </c>
      <c r="B294" s="11">
        <f t="shared" si="52"/>
        <v>-584947.96405201848</v>
      </c>
      <c r="C294" s="11">
        <f t="shared" si="52"/>
        <v>-528527.45120728482</v>
      </c>
      <c r="D294" s="11">
        <f t="shared" si="52"/>
        <v>-504880.61861794791</v>
      </c>
      <c r="E294" s="11">
        <f t="shared" si="52"/>
        <v>-504465.76190585434</v>
      </c>
      <c r="F294" s="11">
        <f t="shared" si="52"/>
        <v>-423153.84633550275</v>
      </c>
      <c r="G294" s="11">
        <f t="shared" si="52"/>
        <v>-474596.07863511285</v>
      </c>
      <c r="H294" s="11">
        <f t="shared" si="52"/>
        <v>-474181.22192301927</v>
      </c>
      <c r="I294" s="11">
        <f t="shared" si="52"/>
        <v>-398677.30032197852</v>
      </c>
      <c r="J294" s="11">
        <f t="shared" si="53"/>
        <v>-400336.72717035323</v>
      </c>
      <c r="K294" s="11">
        <f t="shared" si="53"/>
        <v>-331470.51296281046</v>
      </c>
      <c r="L294" s="11">
        <f t="shared" si="53"/>
        <v>-183781.52345747815</v>
      </c>
      <c r="M294" s="11">
        <f t="shared" si="53"/>
        <v>-185440.95030585266</v>
      </c>
      <c r="N294" s="11">
        <f t="shared" si="53"/>
        <v>-173410.10565513739</v>
      </c>
      <c r="O294" s="11">
        <f t="shared" si="53"/>
        <v>-203279.78892587879</v>
      </c>
      <c r="P294" s="11">
        <f t="shared" si="53"/>
        <v>-168016.96839792017</v>
      </c>
    </row>
    <row r="295" spans="1:16">
      <c r="A295">
        <v>15</v>
      </c>
      <c r="B295" s="11">
        <f t="shared" si="52"/>
        <v>-567910.64471069758</v>
      </c>
      <c r="C295" s="11">
        <f t="shared" si="52"/>
        <v>-513133.44777406286</v>
      </c>
      <c r="D295" s="11">
        <f t="shared" si="52"/>
        <v>-490175.35788150277</v>
      </c>
      <c r="E295" s="11">
        <f t="shared" si="52"/>
        <v>-489772.58437461581</v>
      </c>
      <c r="F295" s="11">
        <f t="shared" si="52"/>
        <v>-410828.97702475992</v>
      </c>
      <c r="G295" s="11">
        <f t="shared" si="52"/>
        <v>-460772.89187875035</v>
      </c>
      <c r="H295" s="11">
        <f t="shared" si="52"/>
        <v>-460370.11837186338</v>
      </c>
      <c r="I295" s="11">
        <f t="shared" si="52"/>
        <v>-387065.34011842572</v>
      </c>
      <c r="J295" s="11">
        <f t="shared" si="53"/>
        <v>-388676.434145974</v>
      </c>
      <c r="K295" s="11">
        <f t="shared" si="53"/>
        <v>-321816.03200272861</v>
      </c>
      <c r="L295" s="11">
        <f t="shared" si="53"/>
        <v>-178428.66355094966</v>
      </c>
      <c r="M295" s="11">
        <f t="shared" si="53"/>
        <v>-180039.75757849772</v>
      </c>
      <c r="N295" s="11">
        <f t="shared" si="53"/>
        <v>-168359.32587877414</v>
      </c>
      <c r="O295" s="11">
        <f t="shared" si="53"/>
        <v>-197359.01837463959</v>
      </c>
      <c r="P295" s="11">
        <f t="shared" si="53"/>
        <v>-163123.27028924288</v>
      </c>
    </row>
    <row r="296" spans="1:16">
      <c r="A296">
        <v>16</v>
      </c>
      <c r="B296" s="11">
        <f t="shared" si="52"/>
        <v>-551369.55797155108</v>
      </c>
      <c r="C296" s="11">
        <f t="shared" si="52"/>
        <v>-498187.81337287667</v>
      </c>
      <c r="D296" s="11">
        <f t="shared" si="52"/>
        <v>-475898.40571019694</v>
      </c>
      <c r="E296" s="11">
        <f t="shared" si="52"/>
        <v>-475507.36347050086</v>
      </c>
      <c r="F296" s="11">
        <f t="shared" si="52"/>
        <v>-398863.08449005825</v>
      </c>
      <c r="G296" s="11">
        <f t="shared" si="52"/>
        <v>-447352.32221237902</v>
      </c>
      <c r="H296" s="11">
        <f t="shared" si="52"/>
        <v>-446961.27997268294</v>
      </c>
      <c r="I296" s="11">
        <f t="shared" si="52"/>
        <v>-375791.59234798624</v>
      </c>
      <c r="J296" s="11">
        <f t="shared" si="53"/>
        <v>-377355.7613067709</v>
      </c>
      <c r="K296" s="11">
        <f t="shared" si="53"/>
        <v>-312442.74951721227</v>
      </c>
      <c r="L296" s="11">
        <f t="shared" si="53"/>
        <v>-173231.71218538802</v>
      </c>
      <c r="M296" s="11">
        <f t="shared" si="53"/>
        <v>-174795.88114417257</v>
      </c>
      <c r="N296" s="11">
        <f t="shared" si="53"/>
        <v>-163455.65619298464</v>
      </c>
      <c r="O296" s="11">
        <f t="shared" si="53"/>
        <v>-191610.69745110645</v>
      </c>
      <c r="P296" s="11">
        <f t="shared" si="53"/>
        <v>-158372.10707693486</v>
      </c>
    </row>
    <row r="297" spans="1:16">
      <c r="A297">
        <v>17</v>
      </c>
      <c r="B297" s="11">
        <f t="shared" si="52"/>
        <v>-535310.25045781664</v>
      </c>
      <c r="C297" s="11">
        <f t="shared" si="52"/>
        <v>-483677.48871153075</v>
      </c>
      <c r="D297" s="11">
        <f t="shared" si="52"/>
        <v>-462037.28709727857</v>
      </c>
      <c r="E297" s="11">
        <f t="shared" si="52"/>
        <v>-461657.63443737949</v>
      </c>
      <c r="F297" s="11">
        <f t="shared" si="52"/>
        <v>-387245.71309714392</v>
      </c>
      <c r="G297" s="11">
        <f t="shared" si="52"/>
        <v>-434322.64292463986</v>
      </c>
      <c r="H297" s="11">
        <f t="shared" si="52"/>
        <v>-433942.99026474071</v>
      </c>
      <c r="I297" s="11">
        <f t="shared" si="52"/>
        <v>-364846.20616309339</v>
      </c>
      <c r="J297" s="11">
        <f t="shared" si="53"/>
        <v>-366364.81680269021</v>
      </c>
      <c r="K297" s="11">
        <f t="shared" si="53"/>
        <v>-303342.47525942943</v>
      </c>
      <c r="L297" s="11">
        <f t="shared" si="53"/>
        <v>-168186.12833532819</v>
      </c>
      <c r="M297" s="11">
        <f t="shared" si="53"/>
        <v>-169704.73897492484</v>
      </c>
      <c r="N297" s="11">
        <f t="shared" si="53"/>
        <v>-158694.81183784918</v>
      </c>
      <c r="O297" s="11">
        <f t="shared" si="53"/>
        <v>-186029.80335058877</v>
      </c>
      <c r="P297" s="11">
        <f t="shared" si="53"/>
        <v>-153759.32725916005</v>
      </c>
    </row>
    <row r="298" spans="1:16">
      <c r="A298">
        <v>18</v>
      </c>
      <c r="B298" s="11">
        <f t="shared" si="52"/>
        <v>-519718.68976487051</v>
      </c>
      <c r="C298" s="11">
        <f t="shared" si="52"/>
        <v>-469589.79486556386</v>
      </c>
      <c r="D298" s="11">
        <f t="shared" si="52"/>
        <v>-448579.89038570737</v>
      </c>
      <c r="E298" s="11">
        <f t="shared" si="52"/>
        <v>-448211.29557027132</v>
      </c>
      <c r="F298" s="11">
        <f t="shared" si="52"/>
        <v>-375966.71174479992</v>
      </c>
      <c r="G298" s="11">
        <f t="shared" si="52"/>
        <v>-421672.46885887365</v>
      </c>
      <c r="H298" s="11">
        <f t="shared" si="52"/>
        <v>-421303.87404343759</v>
      </c>
      <c r="I298" s="11">
        <f t="shared" si="52"/>
        <v>-354219.61763407127</v>
      </c>
      <c r="J298" s="11">
        <f t="shared" si="53"/>
        <v>-355693.99689581571</v>
      </c>
      <c r="K298" s="11">
        <f t="shared" si="53"/>
        <v>-294507.25753342657</v>
      </c>
      <c r="L298" s="11">
        <f t="shared" si="53"/>
        <v>-163287.50323818272</v>
      </c>
      <c r="M298" s="11">
        <f t="shared" si="53"/>
        <v>-164761.88249992701</v>
      </c>
      <c r="N298" s="11">
        <f t="shared" si="53"/>
        <v>-154072.63285228075</v>
      </c>
      <c r="O298" s="11">
        <f t="shared" si="53"/>
        <v>-180611.45956367842</v>
      </c>
      <c r="P298" s="11">
        <f t="shared" si="53"/>
        <v>-149280.90025161172</v>
      </c>
    </row>
    <row r="299" spans="1:16">
      <c r="A299">
        <v>19</v>
      </c>
      <c r="B299" s="11">
        <f t="shared" si="52"/>
        <v>-504581.25219890341</v>
      </c>
      <c r="C299" s="11">
        <f t="shared" si="52"/>
        <v>-455912.42219957657</v>
      </c>
      <c r="D299" s="11">
        <f t="shared" si="52"/>
        <v>-435514.45668515278</v>
      </c>
      <c r="E299" s="11">
        <f t="shared" si="52"/>
        <v>-435156.59764104016</v>
      </c>
      <c r="F299" s="11">
        <f t="shared" si="52"/>
        <v>-365016.22499495139</v>
      </c>
      <c r="G299" s="11">
        <f t="shared" si="52"/>
        <v>-409390.74646492588</v>
      </c>
      <c r="H299" s="11">
        <f t="shared" si="52"/>
        <v>-409032.8874208132</v>
      </c>
      <c r="I299" s="11">
        <f t="shared" si="52"/>
        <v>-343902.5413923022</v>
      </c>
      <c r="J299" s="11">
        <f t="shared" si="53"/>
        <v>-345333.97756875312</v>
      </c>
      <c r="K299" s="11">
        <f t="shared" si="53"/>
        <v>-285929.37624604523</v>
      </c>
      <c r="L299" s="11">
        <f t="shared" si="53"/>
        <v>-158531.55654192495</v>
      </c>
      <c r="M299" s="11">
        <f t="shared" si="53"/>
        <v>-159962.99271837575</v>
      </c>
      <c r="N299" s="11">
        <f t="shared" si="53"/>
        <v>-149585.08043910752</v>
      </c>
      <c r="O299" s="11">
        <f t="shared" si="53"/>
        <v>-175350.93161522178</v>
      </c>
      <c r="P299" s="11">
        <f t="shared" si="53"/>
        <v>-144932.91286564243</v>
      </c>
    </row>
    <row r="300" spans="1:16">
      <c r="A300">
        <v>20</v>
      </c>
      <c r="B300" s="11">
        <f t="shared" si="52"/>
        <v>-489884.71087272174</v>
      </c>
      <c r="C300" s="11">
        <f t="shared" si="52"/>
        <v>-442633.4196112394</v>
      </c>
      <c r="D300" s="11">
        <f t="shared" si="52"/>
        <v>-422829.56959723571</v>
      </c>
      <c r="E300" s="11">
        <f t="shared" si="52"/>
        <v>-422482.13363207784</v>
      </c>
      <c r="F300" s="11">
        <f t="shared" si="52"/>
        <v>-354384.6844611179</v>
      </c>
      <c r="G300" s="11">
        <f t="shared" si="52"/>
        <v>-397466.74414070474</v>
      </c>
      <c r="H300" s="11">
        <f t="shared" si="52"/>
        <v>-397119.30817554682</v>
      </c>
      <c r="I300" s="11">
        <f t="shared" si="52"/>
        <v>-333885.96251679829</v>
      </c>
      <c r="J300" s="11">
        <f t="shared" si="53"/>
        <v>-335275.70637743024</v>
      </c>
      <c r="K300" s="11">
        <f t="shared" si="53"/>
        <v>-277601.33616120898</v>
      </c>
      <c r="L300" s="11">
        <f t="shared" si="53"/>
        <v>-153914.13256497571</v>
      </c>
      <c r="M300" s="11">
        <f t="shared" si="53"/>
        <v>-155303.87642560754</v>
      </c>
      <c r="N300" s="11">
        <f t="shared" si="53"/>
        <v>-145228.23343602673</v>
      </c>
      <c r="O300" s="11">
        <f t="shared" si="53"/>
        <v>-170243.62292739979</v>
      </c>
      <c r="P300" s="11">
        <f t="shared" si="53"/>
        <v>-140711.56588897324</v>
      </c>
    </row>
    <row r="301" spans="1:16">
      <c r="B301" s="11"/>
      <c r="C301" s="11"/>
      <c r="D301" s="11"/>
      <c r="E301" s="11"/>
      <c r="F301" s="11"/>
      <c r="G301" s="11"/>
      <c r="H301" s="11"/>
      <c r="I301" s="11"/>
      <c r="J301" s="11"/>
      <c r="K301" s="11"/>
      <c r="L301" s="11"/>
      <c r="M301" s="11"/>
      <c r="N301" s="11"/>
      <c r="O301" s="11"/>
      <c r="P301" s="11"/>
    </row>
    <row r="302" spans="1:16">
      <c r="A302" t="s">
        <v>225</v>
      </c>
      <c r="B302" s="11">
        <f>SUM(B281:B300)</f>
        <v>-13189156.111750703</v>
      </c>
      <c r="C302" s="11">
        <f t="shared" ref="C302:P302" si="54">SUM(C281:C300)</f>
        <v>-11917010.557709504</v>
      </c>
      <c r="D302" s="11">
        <f t="shared" si="54"/>
        <v>-11383831.90638341</v>
      </c>
      <c r="E302" s="11">
        <f t="shared" si="54"/>
        <v>-11374477.894956637</v>
      </c>
      <c r="F302" s="11">
        <f t="shared" si="54"/>
        <v>-9541091.6553090215</v>
      </c>
      <c r="G302" s="11">
        <f t="shared" si="54"/>
        <v>-10700989.072228944</v>
      </c>
      <c r="H302" s="11">
        <f t="shared" si="54"/>
        <v>-10691635.060802167</v>
      </c>
      <c r="I302" s="11">
        <f t="shared" si="54"/>
        <v>-8989204.9811293799</v>
      </c>
      <c r="J302" s="11">
        <f t="shared" si="54"/>
        <v>-9026621.0268364772</v>
      </c>
      <c r="K302" s="11">
        <f t="shared" si="54"/>
        <v>-7473855.1299920678</v>
      </c>
      <c r="L302" s="11">
        <f t="shared" si="54"/>
        <v>-4143827.062060683</v>
      </c>
      <c r="M302" s="11">
        <f t="shared" si="54"/>
        <v>-4181243.1077677766</v>
      </c>
      <c r="N302" s="11">
        <f t="shared" si="54"/>
        <v>-3909976.7763913451</v>
      </c>
      <c r="O302" s="11">
        <f t="shared" si="54"/>
        <v>-4583465.5991190393</v>
      </c>
      <c r="P302" s="11">
        <f t="shared" si="54"/>
        <v>-3788374.6278432868</v>
      </c>
    </row>
    <row r="304" spans="1:16">
      <c r="A304" t="s">
        <v>200</v>
      </c>
    </row>
    <row r="305" spans="1:16">
      <c r="A305" t="s">
        <v>100</v>
      </c>
    </row>
    <row r="306" spans="1:16">
      <c r="A306">
        <v>1</v>
      </c>
      <c r="B306" s="11">
        <f t="shared" ref="B306:P306" si="55">-$B$176*B243</f>
        <v>-319923.68557560793</v>
      </c>
      <c r="C306" s="11">
        <f t="shared" si="55"/>
        <v>-327873.41597560793</v>
      </c>
      <c r="D306" s="11">
        <f t="shared" si="55"/>
        <v>-327469.92097560794</v>
      </c>
      <c r="E306" s="11">
        <f t="shared" si="55"/>
        <v>-327468.80237560789</v>
      </c>
      <c r="F306" s="11">
        <f t="shared" si="55"/>
        <v>-335967.84527560789</v>
      </c>
      <c r="G306" s="11">
        <f t="shared" si="55"/>
        <v>-312625.93917560793</v>
      </c>
      <c r="H306" s="11">
        <f t="shared" si="55"/>
        <v>-312622.26377560792</v>
      </c>
      <c r="I306" s="11">
        <f t="shared" si="55"/>
        <v>-316896.03487560793</v>
      </c>
      <c r="J306" s="11">
        <f t="shared" si="55"/>
        <v>-316622.69697560795</v>
      </c>
      <c r="K306" s="11">
        <f t="shared" si="55"/>
        <v>-318460.47687560791</v>
      </c>
      <c r="L306" s="11">
        <f t="shared" si="55"/>
        <v>-310771.77977560792</v>
      </c>
      <c r="M306" s="11">
        <f t="shared" si="55"/>
        <v>-310098.78207560792</v>
      </c>
      <c r="N306" s="11">
        <f t="shared" si="55"/>
        <v>-297777.48297560785</v>
      </c>
      <c r="O306" s="11">
        <f t="shared" si="55"/>
        <v>-298962.71957560792</v>
      </c>
      <c r="P306" s="11">
        <f t="shared" si="55"/>
        <v>-266923.6984756079</v>
      </c>
    </row>
    <row r="307" spans="1:16">
      <c r="A307">
        <v>2</v>
      </c>
      <c r="B307" s="11">
        <f t="shared" ref="B307:I316" si="56">B$306/((1+$B$173)^$A307)</f>
        <v>-301558.75725856156</v>
      </c>
      <c r="C307" s="11">
        <f t="shared" si="56"/>
        <v>-309052.14061231777</v>
      </c>
      <c r="D307" s="11">
        <f t="shared" si="56"/>
        <v>-308671.80787596188</v>
      </c>
      <c r="E307" s="11">
        <f t="shared" si="56"/>
        <v>-308670.7534881779</v>
      </c>
      <c r="F307" s="11">
        <f t="shared" si="56"/>
        <v>-316681.91655727016</v>
      </c>
      <c r="G307" s="11">
        <f t="shared" si="56"/>
        <v>-294679.93135602598</v>
      </c>
      <c r="H307" s="11">
        <f t="shared" si="56"/>
        <v>-294676.46693902154</v>
      </c>
      <c r="I307" s="11">
        <f t="shared" si="56"/>
        <v>-298704.90609445563</v>
      </c>
      <c r="J307" s="11">
        <f t="shared" ref="J307:P316" si="57">J$306/((1+$B$173)^$A307)</f>
        <v>-298447.25890810438</v>
      </c>
      <c r="K307" s="11">
        <f t="shared" si="57"/>
        <v>-300179.54272373259</v>
      </c>
      <c r="L307" s="11">
        <f t="shared" si="57"/>
        <v>-292932.20829070406</v>
      </c>
      <c r="M307" s="11">
        <f t="shared" si="57"/>
        <v>-292297.84341182763</v>
      </c>
      <c r="N307" s="11">
        <f t="shared" si="57"/>
        <v>-280683.83728495415</v>
      </c>
      <c r="O307" s="11">
        <f t="shared" si="57"/>
        <v>-281801.03645546985</v>
      </c>
      <c r="P307" s="11">
        <f t="shared" si="57"/>
        <v>-251601.18623395977</v>
      </c>
    </row>
    <row r="308" spans="1:16">
      <c r="A308">
        <v>3</v>
      </c>
      <c r="B308" s="11">
        <f t="shared" si="56"/>
        <v>-292775.49248404033</v>
      </c>
      <c r="C308" s="11">
        <f t="shared" si="56"/>
        <v>-300050.62195370661</v>
      </c>
      <c r="D308" s="11">
        <f t="shared" si="56"/>
        <v>-299681.36686986586</v>
      </c>
      <c r="E308" s="11">
        <f t="shared" si="56"/>
        <v>-299680.34319240571</v>
      </c>
      <c r="F308" s="11">
        <f t="shared" si="56"/>
        <v>-307458.17141482537</v>
      </c>
      <c r="G308" s="11">
        <f t="shared" si="56"/>
        <v>-286097.02073400578</v>
      </c>
      <c r="H308" s="11">
        <f t="shared" si="56"/>
        <v>-286093.657222351</v>
      </c>
      <c r="I308" s="11">
        <f t="shared" si="56"/>
        <v>-290004.76319850056</v>
      </c>
      <c r="J308" s="11">
        <f t="shared" si="57"/>
        <v>-289754.6202991305</v>
      </c>
      <c r="K308" s="11">
        <f t="shared" si="57"/>
        <v>-291436.44924634235</v>
      </c>
      <c r="L308" s="11">
        <f t="shared" si="57"/>
        <v>-284400.20222398452</v>
      </c>
      <c r="M308" s="11">
        <f t="shared" si="57"/>
        <v>-283784.31399206567</v>
      </c>
      <c r="N308" s="11">
        <f t="shared" si="57"/>
        <v>-272508.57988830499</v>
      </c>
      <c r="O308" s="11">
        <f t="shared" si="57"/>
        <v>-273593.23927715514</v>
      </c>
      <c r="P308" s="11">
        <f t="shared" si="57"/>
        <v>-244272.99634365024</v>
      </c>
    </row>
    <row r="309" spans="1:16">
      <c r="A309">
        <v>4</v>
      </c>
      <c r="B309" s="11">
        <f t="shared" si="56"/>
        <v>-284248.05095537897</v>
      </c>
      <c r="C309" s="11">
        <f t="shared" si="56"/>
        <v>-291311.28345020057</v>
      </c>
      <c r="D309" s="11">
        <f t="shared" si="56"/>
        <v>-290952.78336880187</v>
      </c>
      <c r="E309" s="11">
        <f t="shared" si="56"/>
        <v>-290951.78950719</v>
      </c>
      <c r="F309" s="11">
        <f t="shared" si="56"/>
        <v>-298503.0790435198</v>
      </c>
      <c r="G309" s="11">
        <f t="shared" si="56"/>
        <v>-277764.09780000563</v>
      </c>
      <c r="H309" s="11">
        <f t="shared" si="56"/>
        <v>-277760.83225470973</v>
      </c>
      <c r="I309" s="11">
        <f t="shared" si="56"/>
        <v>-281558.02252281609</v>
      </c>
      <c r="J309" s="11">
        <f t="shared" si="57"/>
        <v>-281315.16533896164</v>
      </c>
      <c r="K309" s="11">
        <f t="shared" si="57"/>
        <v>-282948.00897703139</v>
      </c>
      <c r="L309" s="11">
        <f t="shared" si="57"/>
        <v>-276116.7011883345</v>
      </c>
      <c r="M309" s="11">
        <f t="shared" si="57"/>
        <v>-275518.75144860742</v>
      </c>
      <c r="N309" s="11">
        <f t="shared" si="57"/>
        <v>-264571.43678476213</v>
      </c>
      <c r="O309" s="11">
        <f t="shared" si="57"/>
        <v>-265624.50415257784</v>
      </c>
      <c r="P309" s="11">
        <f t="shared" si="57"/>
        <v>-237158.24887733036</v>
      </c>
    </row>
    <row r="310" spans="1:16">
      <c r="A310">
        <v>5</v>
      </c>
      <c r="B310" s="11">
        <f t="shared" si="56"/>
        <v>-275968.98151007667</v>
      </c>
      <c r="C310" s="11">
        <f t="shared" si="56"/>
        <v>-282826.48878660251</v>
      </c>
      <c r="D310" s="11">
        <f t="shared" si="56"/>
        <v>-282478.43045514746</v>
      </c>
      <c r="E310" s="11">
        <f t="shared" si="56"/>
        <v>-282477.46554096119</v>
      </c>
      <c r="F310" s="11">
        <f t="shared" si="56"/>
        <v>-289808.81460535905</v>
      </c>
      <c r="G310" s="11">
        <f t="shared" si="56"/>
        <v>-269673.88135922881</v>
      </c>
      <c r="H310" s="11">
        <f t="shared" si="56"/>
        <v>-269670.71092690266</v>
      </c>
      <c r="I310" s="11">
        <f t="shared" si="56"/>
        <v>-273357.30342020985</v>
      </c>
      <c r="J310" s="11">
        <f t="shared" si="57"/>
        <v>-273121.51974656474</v>
      </c>
      <c r="K310" s="11">
        <f t="shared" si="57"/>
        <v>-274706.80483206932</v>
      </c>
      <c r="L310" s="11">
        <f t="shared" si="57"/>
        <v>-268074.46717314032</v>
      </c>
      <c r="M310" s="11">
        <f t="shared" si="57"/>
        <v>-267493.93344524998</v>
      </c>
      <c r="N310" s="11">
        <f t="shared" si="57"/>
        <v>-256865.47260656522</v>
      </c>
      <c r="O310" s="11">
        <f t="shared" si="57"/>
        <v>-257887.8681092989</v>
      </c>
      <c r="P310" s="11">
        <f t="shared" si="57"/>
        <v>-230250.72706536928</v>
      </c>
    </row>
    <row r="311" spans="1:16">
      <c r="A311">
        <v>6</v>
      </c>
      <c r="B311" s="11">
        <f t="shared" si="56"/>
        <v>-267931.05000978318</v>
      </c>
      <c r="C311" s="11">
        <f t="shared" si="56"/>
        <v>-274588.82406466262</v>
      </c>
      <c r="D311" s="11">
        <f t="shared" si="56"/>
        <v>-274250.90335451206</v>
      </c>
      <c r="E311" s="11">
        <f t="shared" si="56"/>
        <v>-274249.9665446225</v>
      </c>
      <c r="F311" s="11">
        <f t="shared" si="56"/>
        <v>-281367.78117025149</v>
      </c>
      <c r="G311" s="11">
        <f t="shared" si="56"/>
        <v>-261819.30229051335</v>
      </c>
      <c r="H311" s="11">
        <f t="shared" si="56"/>
        <v>-261816.22420087634</v>
      </c>
      <c r="I311" s="11">
        <f t="shared" si="56"/>
        <v>-265395.44021379593</v>
      </c>
      <c r="J311" s="11">
        <f t="shared" si="57"/>
        <v>-265166.52402579098</v>
      </c>
      <c r="K311" s="11">
        <f t="shared" si="57"/>
        <v>-266705.6357592906</v>
      </c>
      <c r="L311" s="11">
        <f t="shared" si="57"/>
        <v>-260266.47298363133</v>
      </c>
      <c r="M311" s="11">
        <f t="shared" si="57"/>
        <v>-259702.84800509704</v>
      </c>
      <c r="N311" s="11">
        <f t="shared" si="57"/>
        <v>-249383.95398695651</v>
      </c>
      <c r="O311" s="11">
        <f t="shared" si="57"/>
        <v>-250376.57097990182</v>
      </c>
      <c r="P311" s="11">
        <f t="shared" si="57"/>
        <v>-223544.39520909637</v>
      </c>
    </row>
    <row r="312" spans="1:16">
      <c r="A312">
        <v>7</v>
      </c>
      <c r="B312" s="11">
        <f t="shared" si="56"/>
        <v>-260127.23301920696</v>
      </c>
      <c r="C312" s="11">
        <f t="shared" si="56"/>
        <v>-266591.09132491518</v>
      </c>
      <c r="D312" s="11">
        <f t="shared" si="56"/>
        <v>-266263.0129655457</v>
      </c>
      <c r="E312" s="11">
        <f t="shared" si="56"/>
        <v>-266262.10344138107</v>
      </c>
      <c r="F312" s="11">
        <f t="shared" si="56"/>
        <v>-273172.60307791404</v>
      </c>
      <c r="G312" s="11">
        <f t="shared" si="56"/>
        <v>-254193.49736943044</v>
      </c>
      <c r="H312" s="11">
        <f t="shared" si="56"/>
        <v>-254190.50893288964</v>
      </c>
      <c r="I312" s="11">
        <f t="shared" si="56"/>
        <v>-257665.47593572419</v>
      </c>
      <c r="J312" s="11">
        <f t="shared" si="57"/>
        <v>-257443.2272095058</v>
      </c>
      <c r="K312" s="11">
        <f t="shared" si="57"/>
        <v>-258937.51044591318</v>
      </c>
      <c r="L312" s="11">
        <f t="shared" si="57"/>
        <v>-252685.89610061294</v>
      </c>
      <c r="M312" s="11">
        <f t="shared" si="57"/>
        <v>-252138.68738358933</v>
      </c>
      <c r="N312" s="11">
        <f t="shared" si="57"/>
        <v>-242120.34367665678</v>
      </c>
      <c r="O312" s="11">
        <f t="shared" si="57"/>
        <v>-243084.04949505031</v>
      </c>
      <c r="P312" s="11">
        <f t="shared" si="57"/>
        <v>-217033.39340688969</v>
      </c>
    </row>
    <row r="313" spans="1:16">
      <c r="A313">
        <v>8</v>
      </c>
      <c r="B313" s="11">
        <f t="shared" si="56"/>
        <v>-252550.71166913299</v>
      </c>
      <c r="C313" s="11">
        <f t="shared" si="56"/>
        <v>-258826.30225719922</v>
      </c>
      <c r="D313" s="11">
        <f t="shared" si="56"/>
        <v>-258507.77957819973</v>
      </c>
      <c r="E313" s="11">
        <f t="shared" si="56"/>
        <v>-258506.89654503018</v>
      </c>
      <c r="F313" s="11">
        <f t="shared" si="56"/>
        <v>-265216.11949312047</v>
      </c>
      <c r="G313" s="11">
        <f t="shared" si="56"/>
        <v>-246789.80327129172</v>
      </c>
      <c r="H313" s="11">
        <f t="shared" si="56"/>
        <v>-246786.9018765919</v>
      </c>
      <c r="I313" s="11">
        <f t="shared" si="56"/>
        <v>-250160.65624827595</v>
      </c>
      <c r="J313" s="11">
        <f t="shared" si="57"/>
        <v>-249944.88078592799</v>
      </c>
      <c r="K313" s="11">
        <f t="shared" si="57"/>
        <v>-251395.6412096245</v>
      </c>
      <c r="L313" s="11">
        <f t="shared" si="57"/>
        <v>-245326.11271904173</v>
      </c>
      <c r="M313" s="11">
        <f t="shared" si="57"/>
        <v>-244794.84211998968</v>
      </c>
      <c r="N313" s="11">
        <f t="shared" si="57"/>
        <v>-235068.29483170563</v>
      </c>
      <c r="O313" s="11">
        <f t="shared" si="57"/>
        <v>-236003.93154859255</v>
      </c>
      <c r="P313" s="11">
        <f t="shared" si="57"/>
        <v>-210712.03243387351</v>
      </c>
    </row>
    <row r="314" spans="1:16">
      <c r="A314">
        <v>9</v>
      </c>
      <c r="B314" s="11">
        <f t="shared" si="56"/>
        <v>-245194.86569818738</v>
      </c>
      <c r="C314" s="11">
        <f t="shared" si="56"/>
        <v>-251287.67209436817</v>
      </c>
      <c r="D314" s="11">
        <f t="shared" si="56"/>
        <v>-250978.42677495116</v>
      </c>
      <c r="E314" s="11">
        <f t="shared" si="56"/>
        <v>-250977.56946119433</v>
      </c>
      <c r="F314" s="11">
        <f t="shared" si="56"/>
        <v>-257491.37814866065</v>
      </c>
      <c r="G314" s="11">
        <f t="shared" si="56"/>
        <v>-239601.75074882689</v>
      </c>
      <c r="H314" s="11">
        <f t="shared" si="56"/>
        <v>-239598.93386076883</v>
      </c>
      <c r="I314" s="11">
        <f t="shared" si="56"/>
        <v>-242874.42354201549</v>
      </c>
      <c r="J314" s="11">
        <f t="shared" si="57"/>
        <v>-242664.93280187182</v>
      </c>
      <c r="K314" s="11">
        <f t="shared" si="57"/>
        <v>-244073.43806759658</v>
      </c>
      <c r="L314" s="11">
        <f t="shared" si="57"/>
        <v>-238180.69196023466</v>
      </c>
      <c r="M314" s="11">
        <f t="shared" si="57"/>
        <v>-237664.89526212588</v>
      </c>
      <c r="N314" s="11">
        <f t="shared" si="57"/>
        <v>-228221.64546767538</v>
      </c>
      <c r="O314" s="11">
        <f t="shared" si="57"/>
        <v>-229130.0306297015</v>
      </c>
      <c r="P314" s="11">
        <f t="shared" si="57"/>
        <v>-204574.78877075098</v>
      </c>
    </row>
    <row r="315" spans="1:16">
      <c r="A315">
        <v>10</v>
      </c>
      <c r="B315" s="11">
        <f t="shared" si="56"/>
        <v>-238053.26766814309</v>
      </c>
      <c r="C315" s="11">
        <f t="shared" si="56"/>
        <v>-243968.6136838526</v>
      </c>
      <c r="D315" s="11">
        <f t="shared" si="56"/>
        <v>-243668.37550966133</v>
      </c>
      <c r="E315" s="11">
        <f t="shared" si="56"/>
        <v>-243667.54316620811</v>
      </c>
      <c r="F315" s="11">
        <f t="shared" si="56"/>
        <v>-249991.6292705443</v>
      </c>
      <c r="G315" s="11">
        <f t="shared" si="56"/>
        <v>-232623.05897944359</v>
      </c>
      <c r="H315" s="11">
        <f t="shared" si="56"/>
        <v>-232620.32413666879</v>
      </c>
      <c r="I315" s="11">
        <f t="shared" si="56"/>
        <v>-235800.41120584027</v>
      </c>
      <c r="J315" s="11">
        <f t="shared" si="57"/>
        <v>-235597.02213773964</v>
      </c>
      <c r="K315" s="11">
        <f t="shared" si="57"/>
        <v>-236964.5029782491</v>
      </c>
      <c r="L315" s="11">
        <f t="shared" si="57"/>
        <v>-231243.39025265502</v>
      </c>
      <c r="M315" s="11">
        <f t="shared" si="57"/>
        <v>-230742.61675934552</v>
      </c>
      <c r="N315" s="11">
        <f t="shared" si="57"/>
        <v>-221574.41307541297</v>
      </c>
      <c r="O315" s="11">
        <f t="shared" si="57"/>
        <v>-222456.34041718591</v>
      </c>
      <c r="P315" s="11">
        <f t="shared" si="57"/>
        <v>-198616.29977742812</v>
      </c>
    </row>
    <row r="316" spans="1:16">
      <c r="A316">
        <v>11</v>
      </c>
      <c r="B316" s="11">
        <f t="shared" si="56"/>
        <v>-231119.67734771172</v>
      </c>
      <c r="C316" s="11">
        <f t="shared" si="56"/>
        <v>-236862.73173189571</v>
      </c>
      <c r="D316" s="11">
        <f t="shared" si="56"/>
        <v>-236571.23835889448</v>
      </c>
      <c r="E316" s="11">
        <f t="shared" si="56"/>
        <v>-236570.43025845446</v>
      </c>
      <c r="F316" s="11">
        <f t="shared" si="56"/>
        <v>-242710.31968014009</v>
      </c>
      <c r="G316" s="11">
        <f t="shared" si="56"/>
        <v>-225847.6300771297</v>
      </c>
      <c r="H316" s="11">
        <f t="shared" si="56"/>
        <v>-225844.97488996969</v>
      </c>
      <c r="I316" s="11">
        <f t="shared" si="56"/>
        <v>-228932.43806392257</v>
      </c>
      <c r="J316" s="11">
        <f t="shared" si="57"/>
        <v>-228734.97294926178</v>
      </c>
      <c r="K316" s="11">
        <f t="shared" si="57"/>
        <v>-230062.6242507273</v>
      </c>
      <c r="L316" s="11">
        <f t="shared" si="57"/>
        <v>-224508.14587636408</v>
      </c>
      <c r="M316" s="11">
        <f t="shared" si="57"/>
        <v>-224021.95801878205</v>
      </c>
      <c r="N316" s="11">
        <f t="shared" si="57"/>
        <v>-215120.78939360482</v>
      </c>
      <c r="O316" s="11">
        <f t="shared" si="57"/>
        <v>-215977.02953124847</v>
      </c>
      <c r="P316" s="11">
        <f t="shared" si="57"/>
        <v>-192831.35900721175</v>
      </c>
    </row>
    <row r="317" spans="1:16">
      <c r="A317">
        <v>12</v>
      </c>
      <c r="B317" s="11">
        <f t="shared" ref="B317:I325" si="58">B$306/((1+$B$173)^$A317)</f>
        <v>-224388.03625991431</v>
      </c>
      <c r="C317" s="11">
        <f t="shared" si="58"/>
        <v>-229963.81721543276</v>
      </c>
      <c r="D317" s="11">
        <f t="shared" si="58"/>
        <v>-229680.8139406743</v>
      </c>
      <c r="E317" s="11">
        <f t="shared" si="58"/>
        <v>-229680.02937714028</v>
      </c>
      <c r="F317" s="11">
        <f t="shared" si="58"/>
        <v>-235641.08706809723</v>
      </c>
      <c r="G317" s="11">
        <f t="shared" si="58"/>
        <v>-219269.54376420361</v>
      </c>
      <c r="H317" s="11">
        <f t="shared" si="58"/>
        <v>-219266.96591259196</v>
      </c>
      <c r="I317" s="11">
        <f t="shared" si="58"/>
        <v>-222264.50297468214</v>
      </c>
      <c r="J317" s="11">
        <f t="shared" ref="J317:P325" si="59">J$306/((1+$B$173)^$A317)</f>
        <v>-222072.78927112796</v>
      </c>
      <c r="K317" s="11">
        <f t="shared" si="59"/>
        <v>-223361.771117211</v>
      </c>
      <c r="L317" s="11">
        <f t="shared" si="59"/>
        <v>-217969.07366637295</v>
      </c>
      <c r="M317" s="11">
        <f t="shared" si="59"/>
        <v>-217497.04662017678</v>
      </c>
      <c r="N317" s="11">
        <f t="shared" si="59"/>
        <v>-208855.13533359696</v>
      </c>
      <c r="O317" s="11">
        <f t="shared" si="59"/>
        <v>-209686.43643810533</v>
      </c>
      <c r="P317" s="11">
        <f t="shared" si="59"/>
        <v>-187214.91165748719</v>
      </c>
    </row>
    <row r="318" spans="1:16">
      <c r="A318">
        <v>13</v>
      </c>
      <c r="B318" s="11">
        <f t="shared" si="58"/>
        <v>-217852.46238826634</v>
      </c>
      <c r="C318" s="11">
        <f t="shared" si="58"/>
        <v>-223265.84195673084</v>
      </c>
      <c r="D318" s="11">
        <f t="shared" si="58"/>
        <v>-222991.08149580029</v>
      </c>
      <c r="E318" s="11">
        <f t="shared" si="58"/>
        <v>-222990.31978363136</v>
      </c>
      <c r="F318" s="11">
        <f t="shared" si="58"/>
        <v>-228777.75443504585</v>
      </c>
      <c r="G318" s="11">
        <f t="shared" si="58"/>
        <v>-212883.05219825596</v>
      </c>
      <c r="H318" s="11">
        <f t="shared" si="58"/>
        <v>-212880.54942970094</v>
      </c>
      <c r="I318" s="11">
        <f t="shared" si="58"/>
        <v>-215790.77958707005</v>
      </c>
      <c r="J318" s="11">
        <f t="shared" si="59"/>
        <v>-215604.64977779414</v>
      </c>
      <c r="K318" s="11">
        <f t="shared" si="59"/>
        <v>-216856.08846331167</v>
      </c>
      <c r="L318" s="11">
        <f t="shared" si="59"/>
        <v>-211620.45987026501</v>
      </c>
      <c r="M318" s="11">
        <f t="shared" si="59"/>
        <v>-211162.18118463768</v>
      </c>
      <c r="N318" s="11">
        <f t="shared" si="59"/>
        <v>-202771.9760520359</v>
      </c>
      <c r="O318" s="11">
        <f t="shared" si="59"/>
        <v>-203579.0645030149</v>
      </c>
      <c r="P318" s="11">
        <f t="shared" si="59"/>
        <v>-181762.05015290019</v>
      </c>
    </row>
    <row r="319" spans="1:16">
      <c r="A319">
        <v>14</v>
      </c>
      <c r="B319" s="11">
        <f t="shared" si="58"/>
        <v>-211507.24503715176</v>
      </c>
      <c r="C319" s="11">
        <f t="shared" si="58"/>
        <v>-216762.95335604934</v>
      </c>
      <c r="D319" s="11">
        <f t="shared" si="58"/>
        <v>-216496.19562699055</v>
      </c>
      <c r="E319" s="11">
        <f t="shared" si="58"/>
        <v>-216495.45610061294</v>
      </c>
      <c r="F319" s="11">
        <f t="shared" si="58"/>
        <v>-222114.32469421925</v>
      </c>
      <c r="G319" s="11">
        <f t="shared" si="58"/>
        <v>-206682.57494976305</v>
      </c>
      <c r="H319" s="11">
        <f t="shared" si="58"/>
        <v>-206680.14507737954</v>
      </c>
      <c r="I319" s="11">
        <f t="shared" si="58"/>
        <v>-209505.61124958255</v>
      </c>
      <c r="J319" s="11">
        <f t="shared" si="59"/>
        <v>-209324.9026968875</v>
      </c>
      <c r="K319" s="11">
        <f t="shared" si="59"/>
        <v>-210539.89171195304</v>
      </c>
      <c r="L319" s="11">
        <f t="shared" si="59"/>
        <v>-205456.75715559706</v>
      </c>
      <c r="M319" s="11">
        <f t="shared" si="59"/>
        <v>-205011.82639285209</v>
      </c>
      <c r="N319" s="11">
        <f t="shared" si="59"/>
        <v>-196865.99616702512</v>
      </c>
      <c r="O319" s="11">
        <f t="shared" si="59"/>
        <v>-197649.57718739306</v>
      </c>
      <c r="P319" s="11">
        <f t="shared" si="59"/>
        <v>-176468.00985718463</v>
      </c>
    </row>
    <row r="320" spans="1:16">
      <c r="A320">
        <v>15</v>
      </c>
      <c r="B320" s="11">
        <f t="shared" si="58"/>
        <v>-205346.83984189489</v>
      </c>
      <c r="C320" s="11">
        <f t="shared" si="58"/>
        <v>-210449.46927771778</v>
      </c>
      <c r="D320" s="11">
        <f t="shared" si="58"/>
        <v>-210190.48119125297</v>
      </c>
      <c r="E320" s="11">
        <f t="shared" si="58"/>
        <v>-210189.76320447857</v>
      </c>
      <c r="F320" s="11">
        <f t="shared" si="58"/>
        <v>-215644.97543128082</v>
      </c>
      <c r="G320" s="11">
        <f t="shared" si="58"/>
        <v>-200662.69412598351</v>
      </c>
      <c r="H320" s="11">
        <f t="shared" si="58"/>
        <v>-200660.33502658206</v>
      </c>
      <c r="I320" s="11">
        <f t="shared" si="58"/>
        <v>-203403.50606755586</v>
      </c>
      <c r="J320" s="11">
        <f t="shared" si="59"/>
        <v>-203228.06087076454</v>
      </c>
      <c r="K320" s="11">
        <f t="shared" si="59"/>
        <v>-204407.66185626507</v>
      </c>
      <c r="L320" s="11">
        <f t="shared" si="59"/>
        <v>-199472.57976271558</v>
      </c>
      <c r="M320" s="11">
        <f t="shared" si="59"/>
        <v>-199040.60814840006</v>
      </c>
      <c r="N320" s="11">
        <f t="shared" si="59"/>
        <v>-191132.03511361661</v>
      </c>
      <c r="O320" s="11">
        <f t="shared" si="59"/>
        <v>-191892.79338581851</v>
      </c>
      <c r="P320" s="11">
        <f t="shared" si="59"/>
        <v>-171328.16490988797</v>
      </c>
    </row>
    <row r="321" spans="1:22">
      <c r="A321">
        <v>16</v>
      </c>
      <c r="B321" s="11">
        <f t="shared" si="58"/>
        <v>-199365.86392416985</v>
      </c>
      <c r="C321" s="11">
        <f t="shared" si="58"/>
        <v>-204319.87308516295</v>
      </c>
      <c r="D321" s="11">
        <f t="shared" si="58"/>
        <v>-204068.42834102231</v>
      </c>
      <c r="E321" s="11">
        <f t="shared" si="58"/>
        <v>-204067.73126648407</v>
      </c>
      <c r="F321" s="11">
        <f t="shared" si="58"/>
        <v>-209364.05381677754</v>
      </c>
      <c r="G321" s="11">
        <f t="shared" si="58"/>
        <v>-194818.14963687724</v>
      </c>
      <c r="H321" s="11">
        <f t="shared" si="58"/>
        <v>-194815.85924910882</v>
      </c>
      <c r="I321" s="11">
        <f t="shared" si="58"/>
        <v>-197479.13210442322</v>
      </c>
      <c r="J321" s="11">
        <f t="shared" si="59"/>
        <v>-197308.79696190736</v>
      </c>
      <c r="K321" s="11">
        <f t="shared" si="59"/>
        <v>-198454.04063715058</v>
      </c>
      <c r="L321" s="11">
        <f t="shared" si="59"/>
        <v>-193662.69879875303</v>
      </c>
      <c r="M321" s="11">
        <f t="shared" si="59"/>
        <v>-193243.30888194186</v>
      </c>
      <c r="N321" s="11">
        <f t="shared" si="59"/>
        <v>-185565.08263457927</v>
      </c>
      <c r="O321" s="11">
        <f t="shared" si="59"/>
        <v>-186303.68289885295</v>
      </c>
      <c r="P321" s="11">
        <f t="shared" si="59"/>
        <v>-166338.02418435729</v>
      </c>
    </row>
    <row r="322" spans="1:22">
      <c r="A322">
        <v>17</v>
      </c>
      <c r="B322" s="11">
        <f t="shared" si="58"/>
        <v>-193559.0911885144</v>
      </c>
      <c r="C322" s="11">
        <f t="shared" si="58"/>
        <v>-198368.80882054655</v>
      </c>
      <c r="D322" s="11">
        <f t="shared" si="58"/>
        <v>-198124.68770973041</v>
      </c>
      <c r="E322" s="11">
        <f t="shared" si="58"/>
        <v>-198124.01093833408</v>
      </c>
      <c r="F322" s="11">
        <f t="shared" si="58"/>
        <v>-203266.07166677431</v>
      </c>
      <c r="G322" s="11">
        <f t="shared" si="58"/>
        <v>-189143.83459890995</v>
      </c>
      <c r="H322" s="11">
        <f t="shared" si="58"/>
        <v>-189141.61092146489</v>
      </c>
      <c r="I322" s="11">
        <f t="shared" si="58"/>
        <v>-191727.31272274099</v>
      </c>
      <c r="J322" s="11">
        <f t="shared" si="59"/>
        <v>-191561.93879796832</v>
      </c>
      <c r="K322" s="11">
        <f t="shared" si="59"/>
        <v>-192673.82586131126</v>
      </c>
      <c r="L322" s="11">
        <f t="shared" si="59"/>
        <v>-188022.03766869227</v>
      </c>
      <c r="M322" s="11">
        <f t="shared" si="59"/>
        <v>-187614.86299217655</v>
      </c>
      <c r="N322" s="11">
        <f t="shared" si="59"/>
        <v>-180160.27440250415</v>
      </c>
      <c r="O322" s="11">
        <f t="shared" si="59"/>
        <v>-180877.36203772132</v>
      </c>
      <c r="P322" s="11">
        <f t="shared" si="59"/>
        <v>-161493.22736345368</v>
      </c>
    </row>
    <row r="323" spans="1:22">
      <c r="A323">
        <v>18</v>
      </c>
      <c r="B323" s="11">
        <f t="shared" si="58"/>
        <v>-187921.44775583924</v>
      </c>
      <c r="C323" s="11">
        <f t="shared" si="58"/>
        <v>-192591.07652480245</v>
      </c>
      <c r="D323" s="11">
        <f t="shared" si="58"/>
        <v>-192354.06573760233</v>
      </c>
      <c r="E323" s="11">
        <f t="shared" si="58"/>
        <v>-192353.40867799424</v>
      </c>
      <c r="F323" s="11">
        <f t="shared" si="58"/>
        <v>-197345.70064735369</v>
      </c>
      <c r="G323" s="11">
        <f t="shared" si="58"/>
        <v>-183634.7908727281</v>
      </c>
      <c r="H323" s="11">
        <f t="shared" si="58"/>
        <v>-183632.63196258724</v>
      </c>
      <c r="I323" s="11">
        <f t="shared" si="58"/>
        <v>-186143.02206091356</v>
      </c>
      <c r="J323" s="11">
        <f t="shared" si="59"/>
        <v>-185982.46485239643</v>
      </c>
      <c r="K323" s="11">
        <f t="shared" si="59"/>
        <v>-187061.96685564201</v>
      </c>
      <c r="L323" s="11">
        <f t="shared" si="59"/>
        <v>-182545.66763950704</v>
      </c>
      <c r="M323" s="11">
        <f t="shared" si="59"/>
        <v>-182150.35241958889</v>
      </c>
      <c r="N323" s="11">
        <f t="shared" si="59"/>
        <v>-174912.88776942148</v>
      </c>
      <c r="O323" s="11">
        <f t="shared" si="59"/>
        <v>-175609.08935701099</v>
      </c>
      <c r="P323" s="11">
        <f t="shared" si="59"/>
        <v>-156789.54112956667</v>
      </c>
    </row>
    <row r="324" spans="1:22">
      <c r="A324">
        <v>19</v>
      </c>
      <c r="B324" s="11">
        <f t="shared" si="58"/>
        <v>-182448.00752994101</v>
      </c>
      <c r="C324" s="11">
        <f t="shared" si="58"/>
        <v>-186981.627693983</v>
      </c>
      <c r="D324" s="11">
        <f t="shared" si="58"/>
        <v>-186751.52013359452</v>
      </c>
      <c r="E324" s="11">
        <f t="shared" si="58"/>
        <v>-186750.8822116449</v>
      </c>
      <c r="F324" s="11">
        <f t="shared" si="58"/>
        <v>-191597.76761879001</v>
      </c>
      <c r="G324" s="11">
        <f t="shared" si="58"/>
        <v>-178286.20473080399</v>
      </c>
      <c r="H324" s="11">
        <f t="shared" si="58"/>
        <v>-178284.10870154103</v>
      </c>
      <c r="I324" s="11">
        <f t="shared" si="58"/>
        <v>-180721.38064166368</v>
      </c>
      <c r="J324" s="11">
        <f t="shared" si="59"/>
        <v>-180565.49985669556</v>
      </c>
      <c r="K324" s="11">
        <f t="shared" si="59"/>
        <v>-181613.56005402136</v>
      </c>
      <c r="L324" s="11">
        <f t="shared" si="59"/>
        <v>-177228.80353350198</v>
      </c>
      <c r="M324" s="11">
        <f t="shared" si="59"/>
        <v>-176845.00234911541</v>
      </c>
      <c r="N324" s="11">
        <f t="shared" si="59"/>
        <v>-169818.33764021503</v>
      </c>
      <c r="O324" s="11">
        <f t="shared" si="59"/>
        <v>-170494.26151166114</v>
      </c>
      <c r="P324" s="11">
        <f t="shared" si="59"/>
        <v>-152222.85546559872</v>
      </c>
    </row>
    <row r="325" spans="1:22">
      <c r="A325">
        <v>20</v>
      </c>
      <c r="B325" s="11">
        <f t="shared" si="58"/>
        <v>-177133.98789314661</v>
      </c>
      <c r="C325" s="11">
        <f t="shared" si="58"/>
        <v>-181535.56086794464</v>
      </c>
      <c r="D325" s="11">
        <f t="shared" si="58"/>
        <v>-181312.15546950925</v>
      </c>
      <c r="E325" s="11">
        <f t="shared" si="58"/>
        <v>-181311.53612781057</v>
      </c>
      <c r="F325" s="11">
        <f t="shared" si="58"/>
        <v>-186017.2501153301</v>
      </c>
      <c r="G325" s="11">
        <f t="shared" si="58"/>
        <v>-173093.40265126599</v>
      </c>
      <c r="H325" s="11">
        <f t="shared" si="58"/>
        <v>-173091.36767139906</v>
      </c>
      <c r="I325" s="11">
        <f t="shared" si="58"/>
        <v>-175457.65110841134</v>
      </c>
      <c r="J325" s="11">
        <f t="shared" si="59"/>
        <v>-175306.31054048112</v>
      </c>
      <c r="K325" s="11">
        <f t="shared" si="59"/>
        <v>-176323.84471264211</v>
      </c>
      <c r="L325" s="11">
        <f t="shared" si="59"/>
        <v>-172066.79954708932</v>
      </c>
      <c r="M325" s="11">
        <f t="shared" si="59"/>
        <v>-171694.17703797616</v>
      </c>
      <c r="N325" s="11">
        <f t="shared" si="59"/>
        <v>-164872.17246622819</v>
      </c>
      <c r="O325" s="11">
        <f t="shared" si="59"/>
        <v>-165528.40923462249</v>
      </c>
      <c r="P325" s="11">
        <f t="shared" si="59"/>
        <v>-147789.18006368808</v>
      </c>
    </row>
    <row r="327" spans="1:22">
      <c r="A327" t="s">
        <v>226</v>
      </c>
      <c r="B327" s="11">
        <f>SUM(B306:B325)</f>
        <v>-4768974.7550146701</v>
      </c>
      <c r="C327" s="11">
        <f t="shared" ref="C327:P327" si="60">SUM(C306:C325)</f>
        <v>-4887478.2147336993</v>
      </c>
      <c r="D327" s="11">
        <f t="shared" si="60"/>
        <v>-4881463.4757333249</v>
      </c>
      <c r="E327" s="11">
        <f t="shared" si="60"/>
        <v>-4881446.8012093641</v>
      </c>
      <c r="F327" s="11">
        <f t="shared" si="60"/>
        <v>-5008138.6432308815</v>
      </c>
      <c r="G327" s="11">
        <f t="shared" si="60"/>
        <v>-4660190.160690303</v>
      </c>
      <c r="H327" s="11">
        <f t="shared" si="60"/>
        <v>-4660135.3729687147</v>
      </c>
      <c r="I327" s="11">
        <f t="shared" si="60"/>
        <v>-4723842.7738382071</v>
      </c>
      <c r="J327" s="11">
        <f t="shared" si="60"/>
        <v>-4719768.2348044906</v>
      </c>
      <c r="K327" s="11">
        <f t="shared" si="60"/>
        <v>-4747163.2866356922</v>
      </c>
      <c r="L327" s="11">
        <f t="shared" si="60"/>
        <v>-4632550.9461868042</v>
      </c>
      <c r="M327" s="11">
        <f t="shared" si="60"/>
        <v>-4622518.8379491521</v>
      </c>
      <c r="N327" s="11">
        <f t="shared" si="60"/>
        <v>-4438850.1475514295</v>
      </c>
      <c r="O327" s="11">
        <f t="shared" si="60"/>
        <v>-4456517.9967259904</v>
      </c>
      <c r="P327" s="11">
        <f t="shared" si="60"/>
        <v>-3978925.0903852931</v>
      </c>
    </row>
    <row r="329" spans="1:22">
      <c r="A329" t="s">
        <v>227</v>
      </c>
      <c r="B329" s="11">
        <f t="shared" ref="B329:P329" si="61">B327+B302+B223+$B$220+$B$219+B277+B249+B250+B225</f>
        <v>-21436641.100977138</v>
      </c>
      <c r="C329" s="11">
        <f t="shared" si="61"/>
        <v>-22051960.544182241</v>
      </c>
      <c r="D329" s="11">
        <f t="shared" si="61"/>
        <v>-22335839.128057647</v>
      </c>
      <c r="E329" s="11">
        <f t="shared" si="61"/>
        <v>-22424429.296913061</v>
      </c>
      <c r="F329" s="11">
        <f t="shared" si="61"/>
        <v>-21290100.453816246</v>
      </c>
      <c r="G329" s="11">
        <f t="shared" si="61"/>
        <v>-23173480.488328233</v>
      </c>
      <c r="H329" s="11">
        <f t="shared" si="61"/>
        <v>-23315163.211223025</v>
      </c>
      <c r="I329" s="11">
        <f t="shared" si="61"/>
        <v>-22191557.436669193</v>
      </c>
      <c r="J329" s="11">
        <f t="shared" si="61"/>
        <v>-22366051.438950505</v>
      </c>
      <c r="K329" s="11">
        <f t="shared" si="61"/>
        <v>-21490830.69344718</v>
      </c>
      <c r="L329" s="11">
        <f t="shared" si="61"/>
        <v>-17563171.217101108</v>
      </c>
      <c r="M329" s="11">
        <f t="shared" si="61"/>
        <v>-17714060.939035557</v>
      </c>
      <c r="N329" s="11">
        <f t="shared" si="61"/>
        <v>-18002177.999046955</v>
      </c>
      <c r="O329" s="11">
        <f t="shared" si="61"/>
        <v>-19738148.376735155</v>
      </c>
      <c r="P329" s="11">
        <f t="shared" si="61"/>
        <v>-19172172.354464713</v>
      </c>
      <c r="Q329" s="11"/>
      <c r="R329" s="11"/>
      <c r="S329" s="11"/>
      <c r="T329" s="11"/>
      <c r="U329" s="11"/>
      <c r="V329" s="11"/>
    </row>
    <row r="330" spans="1:22">
      <c r="A330" t="s">
        <v>233</v>
      </c>
      <c r="B330" s="11">
        <f t="shared" ref="B330:P330" si="62">B329-$B$184</f>
        <v>-21163312303.890461</v>
      </c>
      <c r="C330" s="11">
        <f t="shared" si="62"/>
        <v>-21163927623.333664</v>
      </c>
      <c r="D330" s="11">
        <f t="shared" si="62"/>
        <v>-21164211501.917542</v>
      </c>
      <c r="E330" s="11">
        <f t="shared" si="62"/>
        <v>-21164300092.086395</v>
      </c>
      <c r="F330" s="11">
        <f t="shared" si="62"/>
        <v>-21163165763.243298</v>
      </c>
      <c r="G330" s="11">
        <f t="shared" si="62"/>
        <v>-21165049143.277809</v>
      </c>
      <c r="H330" s="11">
        <f t="shared" si="62"/>
        <v>-21165190826.000706</v>
      </c>
      <c r="I330" s="11">
        <f t="shared" si="62"/>
        <v>-21164067220.226151</v>
      </c>
      <c r="J330" s="11">
        <f t="shared" si="62"/>
        <v>-21164241714.228432</v>
      </c>
      <c r="K330" s="11">
        <f t="shared" si="62"/>
        <v>-21163366493.482929</v>
      </c>
      <c r="L330" s="11">
        <f t="shared" si="62"/>
        <v>-21159438834.006584</v>
      </c>
      <c r="M330" s="11">
        <f t="shared" si="62"/>
        <v>-21159589723.728519</v>
      </c>
      <c r="N330" s="11">
        <f t="shared" si="62"/>
        <v>-21159877840.788528</v>
      </c>
      <c r="O330" s="11">
        <f t="shared" si="62"/>
        <v>-21161613811.166218</v>
      </c>
      <c r="P330" s="11">
        <f t="shared" si="62"/>
        <v>-21161047835.143948</v>
      </c>
    </row>
    <row r="331" spans="1:22">
      <c r="A331" t="s">
        <v>230</v>
      </c>
      <c r="B331" s="9">
        <f t="shared" ref="B331:P331" si="63">1-B244/$B$180</f>
        <v>0.12102113157738981</v>
      </c>
      <c r="C331" s="9">
        <f t="shared" si="63"/>
        <v>0.17969965041783353</v>
      </c>
      <c r="D331" s="9">
        <f t="shared" si="63"/>
        <v>0.20680530143989739</v>
      </c>
      <c r="E331" s="9">
        <f t="shared" si="63"/>
        <v>0.20727683024229959</v>
      </c>
      <c r="F331" s="9">
        <f t="shared" si="63"/>
        <v>0.29383246077935499</v>
      </c>
      <c r="G331" s="9">
        <f t="shared" si="63"/>
        <v>0.25115620211553313</v>
      </c>
      <c r="H331" s="9">
        <f t="shared" si="63"/>
        <v>0.25162945064914988</v>
      </c>
      <c r="I331" s="9">
        <f t="shared" si="63"/>
        <v>0.33443617462158592</v>
      </c>
      <c r="J331" s="9">
        <f t="shared" si="63"/>
        <v>0.33273691895676316</v>
      </c>
      <c r="K331" s="9">
        <f t="shared" si="63"/>
        <v>0.40964969412397345</v>
      </c>
      <c r="L331" s="9">
        <f t="shared" si="63"/>
        <v>0.58241760011277011</v>
      </c>
      <c r="M331" s="9">
        <f t="shared" si="63"/>
        <v>0.58098715993342909</v>
      </c>
      <c r="N331" s="9">
        <f t="shared" si="63"/>
        <v>0.60292711457804815</v>
      </c>
      <c r="O331" s="9">
        <f t="shared" si="63"/>
        <v>0.5682340094371845</v>
      </c>
      <c r="P331" s="9">
        <f t="shared" si="63"/>
        <v>0.62979979576213463</v>
      </c>
    </row>
    <row r="333" spans="1:22">
      <c r="A333" t="s">
        <v>236</v>
      </c>
      <c r="B333" s="40" t="s">
        <v>161</v>
      </c>
    </row>
    <row r="334" spans="1:22">
      <c r="A334" s="10" t="s">
        <v>237</v>
      </c>
      <c r="B334" s="12">
        <f>B302+B277+B223+B250+B249-$B$182-$B$181</f>
        <v>322318.1437124433</v>
      </c>
      <c r="C334" s="12">
        <f>C302+C277+C223+C250+C249-$B$182-$B$181</f>
        <v>-164377.12977362517</v>
      </c>
      <c r="D334" s="12">
        <f t="shared" ref="D334:P334" si="64">D302+D277+D223+D250+D249-$B$182-$B$181</f>
        <v>-452984.86264941003</v>
      </c>
      <c r="E334" s="12">
        <f t="shared" si="64"/>
        <v>-541591.70602878463</v>
      </c>
      <c r="F334" s="12">
        <f t="shared" si="64"/>
        <v>720645.12908954453</v>
      </c>
      <c r="G334" s="12">
        <f t="shared" si="64"/>
        <v>-1506307.4979630215</v>
      </c>
      <c r="H334" s="12">
        <f t="shared" si="64"/>
        <v>-1648045.0085794022</v>
      </c>
      <c r="I334" s="12">
        <f t="shared" si="64"/>
        <v>-458558.91315607633</v>
      </c>
      <c r="J334" s="12">
        <f t="shared" si="64"/>
        <v>-637142.24447110575</v>
      </c>
      <c r="K334" s="12">
        <f t="shared" si="64"/>
        <v>268383.34286342282</v>
      </c>
      <c r="L334" s="12">
        <f t="shared" si="64"/>
        <v>4091239.8087606104</v>
      </c>
      <c r="M334" s="12">
        <f t="shared" si="64"/>
        <v>3930330.4385885103</v>
      </c>
      <c r="N334" s="12">
        <f t="shared" si="64"/>
        <v>3462674.7781793857</v>
      </c>
      <c r="O334" s="12">
        <f t="shared" si="64"/>
        <v>1742434.1296657464</v>
      </c>
      <c r="P334" s="12">
        <f t="shared" si="64"/>
        <v>1841574.3455954948</v>
      </c>
    </row>
    <row r="335" spans="1:22">
      <c r="A335" s="10" t="s">
        <v>238</v>
      </c>
      <c r="B335" s="12">
        <f t="shared" ref="B335:P335" si="65">B327+B225+$B$220-$B$183</f>
        <v>1477344.0172345899</v>
      </c>
      <c r="C335" s="12">
        <f t="shared" si="65"/>
        <v>1348719.8475155607</v>
      </c>
      <c r="D335" s="12">
        <f t="shared" si="65"/>
        <v>1353448.9965159353</v>
      </c>
      <c r="E335" s="12">
        <f t="shared" si="65"/>
        <v>1353465.6710398961</v>
      </c>
      <c r="F335" s="12">
        <f t="shared" si="65"/>
        <v>1225557.6790183783</v>
      </c>
      <c r="G335" s="12">
        <f t="shared" si="65"/>
        <v>1569130.2715589572</v>
      </c>
      <c r="H335" s="12">
        <f t="shared" si="65"/>
        <v>1569185.0592805455</v>
      </c>
      <c r="I335" s="12">
        <f t="shared" si="65"/>
        <v>1503304.7384110531</v>
      </c>
      <c r="J335" s="12">
        <f t="shared" si="65"/>
        <v>1507394.0674447687</v>
      </c>
      <c r="K335" s="12">
        <f t="shared" si="65"/>
        <v>1477089.225613568</v>
      </c>
      <c r="L335" s="12">
        <f t="shared" si="65"/>
        <v>1581892.2360624559</v>
      </c>
      <c r="M335" s="12">
        <f t="shared" si="65"/>
        <v>1591911.8843001081</v>
      </c>
      <c r="N335" s="12">
        <f t="shared" si="65"/>
        <v>1771450.4846978309</v>
      </c>
      <c r="O335" s="12">
        <f t="shared" si="65"/>
        <v>1755720.75552327</v>
      </c>
      <c r="P335" s="12">
        <f t="shared" si="65"/>
        <v>2222556.5618639663</v>
      </c>
    </row>
    <row r="336" spans="1:22">
      <c r="A336" s="10" t="s">
        <v>239</v>
      </c>
      <c r="B336" s="12">
        <f>B334+B335</f>
        <v>1799662.1609470332</v>
      </c>
      <c r="C336" s="12">
        <f t="shared" ref="C336:P336" si="66">C334+C335</f>
        <v>1184342.7177419355</v>
      </c>
      <c r="D336" s="12">
        <f t="shared" si="66"/>
        <v>900464.13386652526</v>
      </c>
      <c r="E336" s="12">
        <f t="shared" si="66"/>
        <v>811873.96501111146</v>
      </c>
      <c r="F336" s="12">
        <f t="shared" si="66"/>
        <v>1946202.8081079228</v>
      </c>
      <c r="G336" s="12">
        <f t="shared" si="66"/>
        <v>62822.773595935665</v>
      </c>
      <c r="H336" s="12">
        <f t="shared" si="66"/>
        <v>-78859.94929885678</v>
      </c>
      <c r="I336" s="12">
        <f t="shared" si="66"/>
        <v>1044745.8252549767</v>
      </c>
      <c r="J336" s="12">
        <f t="shared" si="66"/>
        <v>870251.82297366299</v>
      </c>
      <c r="K336" s="12">
        <f t="shared" si="66"/>
        <v>1745472.5684769908</v>
      </c>
      <c r="L336" s="12">
        <f t="shared" si="66"/>
        <v>5673132.0448230663</v>
      </c>
      <c r="M336" s="12">
        <f t="shared" si="66"/>
        <v>5522242.3228886183</v>
      </c>
      <c r="N336" s="12">
        <f t="shared" si="66"/>
        <v>5234125.2628772166</v>
      </c>
      <c r="O336" s="12">
        <f t="shared" si="66"/>
        <v>3498154.8851890163</v>
      </c>
      <c r="P336" s="12">
        <f t="shared" si="66"/>
        <v>4064130.9074594611</v>
      </c>
    </row>
    <row r="337" spans="1:16">
      <c r="A337" s="10" t="s">
        <v>159</v>
      </c>
      <c r="B337" s="13">
        <f>-(B336-$B$219-$B$220)/($B$219+$B$220)</f>
        <v>4.4713468621966239</v>
      </c>
      <c r="C337" s="13">
        <f t="shared" ref="C337:P337" si="67">-(C336-$B$219-$B$220-C223-C225)/($B$219+$B$220+C223+C225)</f>
        <v>1.7502705857500951</v>
      </c>
      <c r="D337" s="13">
        <f t="shared" si="67"/>
        <v>1.4329488148980527</v>
      </c>
      <c r="E337" s="13">
        <f t="shared" si="67"/>
        <v>1.3690605113282355</v>
      </c>
      <c r="F337" s="13">
        <f t="shared" si="67"/>
        <v>1.6420874122980069</v>
      </c>
      <c r="G337" s="13">
        <f t="shared" si="67"/>
        <v>1.0203610965540142</v>
      </c>
      <c r="H337" s="13">
        <f t="shared" si="67"/>
        <v>0.9753980257067455</v>
      </c>
      <c r="I337" s="13">
        <f t="shared" si="67"/>
        <v>1.2587538684166666</v>
      </c>
      <c r="J337" s="13">
        <f t="shared" si="67"/>
        <v>1.2093164188646497</v>
      </c>
      <c r="K337" s="13">
        <f t="shared" si="67"/>
        <v>1.3682043440942184</v>
      </c>
      <c r="L337" s="13">
        <f t="shared" si="67"/>
        <v>2.0603372728606186</v>
      </c>
      <c r="M337" s="13">
        <f t="shared" si="67"/>
        <v>2.0094913748717946</v>
      </c>
      <c r="N337" s="13">
        <f t="shared" si="67"/>
        <v>1.8940419484098632</v>
      </c>
      <c r="O337" s="13">
        <f t="shared" si="67"/>
        <v>1.5685733042148695</v>
      </c>
      <c r="P337" s="13">
        <f t="shared" si="67"/>
        <v>1.5921565957267447</v>
      </c>
    </row>
    <row r="339" spans="1:16">
      <c r="A339" t="s">
        <v>202</v>
      </c>
    </row>
    <row r="340" spans="1:16">
      <c r="A340" s="10" t="s">
        <v>203</v>
      </c>
      <c r="B340" s="12"/>
      <c r="C340" s="12">
        <f t="shared" ref="C340:P340" si="68">C334-$B$334</f>
        <v>-486695.27348606847</v>
      </c>
      <c r="D340" s="12">
        <f t="shared" si="68"/>
        <v>-775303.00636185333</v>
      </c>
      <c r="E340" s="12">
        <f t="shared" si="68"/>
        <v>-863909.84974122792</v>
      </c>
      <c r="F340" s="12">
        <f t="shared" si="68"/>
        <v>398326.98537710123</v>
      </c>
      <c r="G340" s="12">
        <f t="shared" si="68"/>
        <v>-1828625.6416754648</v>
      </c>
      <c r="H340" s="12">
        <f t="shared" si="68"/>
        <v>-1970363.1522918455</v>
      </c>
      <c r="I340" s="12">
        <f t="shared" si="68"/>
        <v>-780877.05686851963</v>
      </c>
      <c r="J340" s="12">
        <f t="shared" si="68"/>
        <v>-959460.38818354905</v>
      </c>
      <c r="K340" s="12">
        <f t="shared" si="68"/>
        <v>-53934.800849020481</v>
      </c>
      <c r="L340" s="12">
        <f t="shared" si="68"/>
        <v>3768921.6650481671</v>
      </c>
      <c r="M340" s="12">
        <f t="shared" si="68"/>
        <v>3608012.294876067</v>
      </c>
      <c r="N340" s="12">
        <f t="shared" si="68"/>
        <v>3140356.6344669424</v>
      </c>
      <c r="O340" s="12">
        <f t="shared" si="68"/>
        <v>1420115.9859533031</v>
      </c>
      <c r="P340" s="12">
        <f t="shared" si="68"/>
        <v>1519256.2018830515</v>
      </c>
    </row>
    <row r="341" spans="1:16">
      <c r="A341" s="10" t="s">
        <v>204</v>
      </c>
      <c r="B341" s="12"/>
      <c r="C341" s="12">
        <f>C335-$B$335</f>
        <v>-128624.16971902922</v>
      </c>
      <c r="D341" s="12">
        <f t="shared" ref="D341:P341" si="69">D335-$B$335</f>
        <v>-123895.02071865462</v>
      </c>
      <c r="E341" s="12">
        <f t="shared" si="69"/>
        <v>-123878.34619469382</v>
      </c>
      <c r="F341" s="12">
        <f t="shared" si="69"/>
        <v>-251786.33821621165</v>
      </c>
      <c r="G341" s="12">
        <f t="shared" si="69"/>
        <v>91786.25432436727</v>
      </c>
      <c r="H341" s="12">
        <f t="shared" si="69"/>
        <v>91841.042045955546</v>
      </c>
      <c r="I341" s="12">
        <f t="shared" si="69"/>
        <v>25960.721176463179</v>
      </c>
      <c r="J341" s="12">
        <f t="shared" si="69"/>
        <v>30050.05021017883</v>
      </c>
      <c r="K341" s="12">
        <f t="shared" si="69"/>
        <v>-254.7916210219264</v>
      </c>
      <c r="L341" s="12">
        <f t="shared" si="69"/>
        <v>104548.21882786602</v>
      </c>
      <c r="M341" s="12">
        <f t="shared" si="69"/>
        <v>114567.86706551816</v>
      </c>
      <c r="N341" s="12">
        <f t="shared" si="69"/>
        <v>294106.46746324096</v>
      </c>
      <c r="O341" s="12">
        <f t="shared" si="69"/>
        <v>278376.73828868009</v>
      </c>
      <c r="P341" s="12">
        <f t="shared" si="69"/>
        <v>745212.54462937638</v>
      </c>
    </row>
    <row r="342" spans="1:16">
      <c r="A342" s="10" t="s">
        <v>205</v>
      </c>
      <c r="B342" s="12"/>
      <c r="C342" s="12">
        <f>C341+C340</f>
        <v>-615319.44320509769</v>
      </c>
      <c r="D342" s="12">
        <f t="shared" ref="D342:P342" si="70">D341+D340</f>
        <v>-899198.02708050795</v>
      </c>
      <c r="E342" s="12">
        <f t="shared" si="70"/>
        <v>-987788.19593592174</v>
      </c>
      <c r="F342" s="12">
        <f t="shared" si="70"/>
        <v>146540.64716088958</v>
      </c>
      <c r="G342" s="12">
        <f t="shared" si="70"/>
        <v>-1736839.3873510975</v>
      </c>
      <c r="H342" s="12">
        <f t="shared" si="70"/>
        <v>-1878522.11024589</v>
      </c>
      <c r="I342" s="12">
        <f t="shared" si="70"/>
        <v>-754916.33569205645</v>
      </c>
      <c r="J342" s="12">
        <f t="shared" si="70"/>
        <v>-929410.33797337022</v>
      </c>
      <c r="K342" s="12">
        <f t="shared" si="70"/>
        <v>-54189.592470042408</v>
      </c>
      <c r="L342" s="12">
        <f t="shared" si="70"/>
        <v>3873469.8838760331</v>
      </c>
      <c r="M342" s="12">
        <f t="shared" si="70"/>
        <v>3722580.1619415851</v>
      </c>
      <c r="N342" s="12">
        <f t="shared" si="70"/>
        <v>3434463.1019301834</v>
      </c>
      <c r="O342" s="12">
        <f t="shared" si="70"/>
        <v>1698492.7242419831</v>
      </c>
      <c r="P342" s="12">
        <f t="shared" si="70"/>
        <v>2264468.7465124279</v>
      </c>
    </row>
    <row r="343" spans="1:16">
      <c r="A343" s="10" t="s">
        <v>206</v>
      </c>
      <c r="B343" s="13"/>
      <c r="C343" s="13">
        <f t="shared" ref="C343:P343" si="71">-(C342-C225-C223)/(C225+C223)</f>
        <v>0.41957605638597728</v>
      </c>
      <c r="D343" s="13">
        <f t="shared" si="71"/>
        <v>0.42411015820769526</v>
      </c>
      <c r="E343" s="13">
        <f t="shared" si="71"/>
        <v>0.41252260328992363</v>
      </c>
      <c r="F343" s="13">
        <f t="shared" si="71"/>
        <v>1.0583217932964379</v>
      </c>
      <c r="G343" s="13">
        <f t="shared" si="71"/>
        <v>0.32339676255844496</v>
      </c>
      <c r="H343" s="13">
        <f t="shared" si="71"/>
        <v>0.30088452892535467</v>
      </c>
      <c r="I343" s="13">
        <f t="shared" si="71"/>
        <v>0.78548462694252152</v>
      </c>
      <c r="J343" s="13">
        <f t="shared" si="71"/>
        <v>0.74460830534902223</v>
      </c>
      <c r="K343" s="13">
        <f t="shared" si="71"/>
        <v>0.98716514873690253</v>
      </c>
      <c r="L343" s="13">
        <f t="shared" si="71"/>
        <v>1.8016493412811636</v>
      </c>
      <c r="M343" s="13">
        <f t="shared" si="71"/>
        <v>1.7517496608069694</v>
      </c>
      <c r="N343" s="13">
        <f t="shared" si="71"/>
        <v>1.6436378235269986</v>
      </c>
      <c r="O343" s="13">
        <f t="shared" si="71"/>
        <v>1.3014676252755784</v>
      </c>
      <c r="P343" s="13">
        <f t="shared" si="71"/>
        <v>1.3568994292027514</v>
      </c>
    </row>
    <row r="345" spans="1:16">
      <c r="B345" t="s">
        <v>8</v>
      </c>
    </row>
    <row r="346" spans="1:16">
      <c r="B346" t="s">
        <v>293</v>
      </c>
    </row>
  </sheetData>
  <conditionalFormatting sqref="C340:P340">
    <cfRule type="colorScale" priority="100">
      <colorScale>
        <cfvo type="min"/>
        <cfvo type="max"/>
        <color rgb="FFFCFCFF"/>
        <color rgb="FF63BE7B"/>
      </colorScale>
    </cfRule>
  </conditionalFormatting>
  <conditionalFormatting sqref="B334:P334">
    <cfRule type="colorScale" priority="101">
      <colorScale>
        <cfvo type="min"/>
        <cfvo type="max"/>
        <color rgb="FFFCFCFF"/>
        <color rgb="FF63BE7B"/>
      </colorScale>
    </cfRule>
  </conditionalFormatting>
  <conditionalFormatting sqref="C336:P336">
    <cfRule type="colorScale" priority="102">
      <colorScale>
        <cfvo type="min"/>
        <cfvo type="max"/>
        <color rgb="FFFCFCFF"/>
        <color rgb="FF63BE7B"/>
      </colorScale>
    </cfRule>
  </conditionalFormatting>
  <conditionalFormatting sqref="C341:P341">
    <cfRule type="colorScale" priority="103">
      <colorScale>
        <cfvo type="min"/>
        <cfvo type="max"/>
        <color rgb="FFFCFCFF"/>
        <color rgb="FF63BE7B"/>
      </colorScale>
    </cfRule>
  </conditionalFormatting>
  <conditionalFormatting sqref="C342:P342">
    <cfRule type="colorScale" priority="104">
      <colorScale>
        <cfvo type="min"/>
        <cfvo type="max"/>
        <color rgb="FFFCFCFF"/>
        <color rgb="FF63BE7B"/>
      </colorScale>
    </cfRule>
  </conditionalFormatting>
  <conditionalFormatting sqref="B335:P335">
    <cfRule type="colorScale" priority="105">
      <colorScale>
        <cfvo type="min"/>
        <cfvo type="max"/>
        <color rgb="FFFCFCFF"/>
        <color rgb="FF63BE7B"/>
      </colorScale>
    </cfRule>
  </conditionalFormatting>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U346"/>
  <sheetViews>
    <sheetView zoomScaleNormal="100" workbookViewId="0">
      <selection activeCell="C203" sqref="C1:C1048576"/>
    </sheetView>
  </sheetViews>
  <sheetFormatPr defaultRowHeight="15"/>
  <cols>
    <col min="1" max="1" width="39.7109375" bestFit="1" customWidth="1"/>
    <col min="2" max="2" width="20.5703125" customWidth="1"/>
    <col min="3" max="10" width="13.42578125" customWidth="1"/>
    <col min="11" max="11" width="15.42578125" customWidth="1"/>
    <col min="12" max="12" width="15" customWidth="1"/>
    <col min="13" max="15" width="13.28515625" customWidth="1"/>
  </cols>
  <sheetData>
    <row r="2" spans="1:15">
      <c r="A2" s="14" t="s">
        <v>296</v>
      </c>
    </row>
    <row r="3" spans="1:15">
      <c r="A3" s="10" t="s">
        <v>7</v>
      </c>
      <c r="B3" t="str">
        <f t="shared" ref="B3:O3" si="0">B43</f>
        <v>No Generator</v>
      </c>
      <c r="C3" t="str">
        <f t="shared" si="0"/>
        <v>SG 100</v>
      </c>
      <c r="D3" t="str">
        <f t="shared" si="0"/>
        <v>SG 100</v>
      </c>
      <c r="E3" t="str">
        <f t="shared" si="0"/>
        <v>No Generator</v>
      </c>
      <c r="F3" t="str">
        <f t="shared" si="0"/>
        <v>SG 200</v>
      </c>
      <c r="G3" t="str">
        <f t="shared" si="0"/>
        <v>SG 300</v>
      </c>
      <c r="H3" t="str">
        <f t="shared" si="0"/>
        <v>SG 300</v>
      </c>
      <c r="I3" t="str">
        <f t="shared" si="0"/>
        <v>SG 500</v>
      </c>
      <c r="J3" t="str">
        <f t="shared" si="0"/>
        <v>SG 500</v>
      </c>
      <c r="K3" t="str">
        <f t="shared" si="0"/>
        <v>SG 500</v>
      </c>
      <c r="L3" t="str">
        <f t="shared" si="0"/>
        <v>SG 500</v>
      </c>
      <c r="M3" t="str">
        <f t="shared" si="0"/>
        <v>SG 500</v>
      </c>
      <c r="N3" t="str">
        <f t="shared" si="0"/>
        <v>SG 500</v>
      </c>
      <c r="O3" t="str">
        <f t="shared" si="0"/>
        <v>SG 300</v>
      </c>
    </row>
    <row r="4" spans="1:15">
      <c r="A4" s="10" t="s">
        <v>9</v>
      </c>
      <c r="B4" t="str">
        <f t="shared" ref="B4:O4" si="1">B44</f>
        <v>No Generator</v>
      </c>
      <c r="C4" t="str">
        <f t="shared" si="1"/>
        <v>No Generator</v>
      </c>
      <c r="D4" t="str">
        <f t="shared" si="1"/>
        <v>No Generator</v>
      </c>
      <c r="E4" t="str">
        <f t="shared" si="1"/>
        <v>No Generator</v>
      </c>
      <c r="F4" t="str">
        <f t="shared" si="1"/>
        <v>No Generator</v>
      </c>
      <c r="G4" t="str">
        <f t="shared" si="1"/>
        <v>No Generator</v>
      </c>
      <c r="H4" t="str">
        <f t="shared" si="1"/>
        <v>No Generator</v>
      </c>
      <c r="I4" t="str">
        <f t="shared" si="1"/>
        <v>No Generator</v>
      </c>
      <c r="J4" t="str">
        <f t="shared" si="1"/>
        <v>No Generator</v>
      </c>
      <c r="K4" t="str">
        <f t="shared" si="1"/>
        <v>No Generator</v>
      </c>
      <c r="L4" t="str">
        <f t="shared" si="1"/>
        <v>No Generator</v>
      </c>
      <c r="M4" t="str">
        <f t="shared" si="1"/>
        <v>No Generator</v>
      </c>
      <c r="N4" t="str">
        <f t="shared" si="1"/>
        <v>No Generator</v>
      </c>
      <c r="O4" t="str">
        <f t="shared" si="1"/>
        <v>No Generator</v>
      </c>
    </row>
    <row r="5" spans="1:15">
      <c r="A5" s="10" t="s">
        <v>10</v>
      </c>
      <c r="B5" t="str">
        <f t="shared" ref="B5:O5" si="2">B45</f>
        <v>No Generator</v>
      </c>
      <c r="C5" t="str">
        <f t="shared" si="2"/>
        <v>No Generator</v>
      </c>
      <c r="D5" t="str">
        <f t="shared" si="2"/>
        <v>No Generator</v>
      </c>
      <c r="E5" t="str">
        <f t="shared" si="2"/>
        <v>WG 100</v>
      </c>
      <c r="F5" t="str">
        <f t="shared" si="2"/>
        <v>No Generator</v>
      </c>
      <c r="G5" t="str">
        <f t="shared" si="2"/>
        <v>No Generator</v>
      </c>
      <c r="H5" t="str">
        <f t="shared" si="2"/>
        <v>WG 100</v>
      </c>
      <c r="I5" t="str">
        <f t="shared" si="2"/>
        <v>No Generator</v>
      </c>
      <c r="J5" t="str">
        <f t="shared" si="2"/>
        <v>No Generator</v>
      </c>
      <c r="K5" t="str">
        <f t="shared" si="2"/>
        <v>No Generator</v>
      </c>
      <c r="L5" t="str">
        <f t="shared" si="2"/>
        <v>WG 100</v>
      </c>
      <c r="M5" t="str">
        <f t="shared" si="2"/>
        <v>WG 200</v>
      </c>
      <c r="N5" t="str">
        <f t="shared" si="2"/>
        <v>WG 200</v>
      </c>
      <c r="O5" t="str">
        <f t="shared" si="2"/>
        <v>WG 500</v>
      </c>
    </row>
    <row r="6" spans="1:15">
      <c r="A6" s="10" t="s">
        <v>11</v>
      </c>
      <c r="B6" t="str">
        <f t="shared" ref="B6:O6" si="3">B46</f>
        <v>No Battery</v>
      </c>
      <c r="C6" t="str">
        <f t="shared" si="3"/>
        <v>No Battery</v>
      </c>
      <c r="D6" t="str">
        <f t="shared" si="3"/>
        <v>Bat 100/100</v>
      </c>
      <c r="E6" t="str">
        <f t="shared" si="3"/>
        <v>No Battery</v>
      </c>
      <c r="F6" t="str">
        <f t="shared" si="3"/>
        <v>No Battery</v>
      </c>
      <c r="G6" t="str">
        <f t="shared" si="3"/>
        <v>No Battery</v>
      </c>
      <c r="H6" t="str">
        <f t="shared" si="3"/>
        <v>No Battery</v>
      </c>
      <c r="I6" t="str">
        <f t="shared" si="3"/>
        <v>No Battery</v>
      </c>
      <c r="J6" t="str">
        <f t="shared" si="3"/>
        <v>Bat 50/50</v>
      </c>
      <c r="K6" t="str">
        <f t="shared" si="3"/>
        <v>Bat 100/100</v>
      </c>
      <c r="L6" t="str">
        <f t="shared" si="3"/>
        <v>No Battery</v>
      </c>
      <c r="M6" t="str">
        <f t="shared" si="3"/>
        <v>No Battery</v>
      </c>
      <c r="N6" t="str">
        <f t="shared" si="3"/>
        <v>Bat 100/100</v>
      </c>
      <c r="O6" t="str">
        <f t="shared" si="3"/>
        <v>No Battery</v>
      </c>
    </row>
    <row r="7" spans="1:15">
      <c r="A7" s="10" t="s">
        <v>291</v>
      </c>
      <c r="B7" t="str">
        <f t="shared" ref="B7:O7" si="4">IF(B53&lt;0.3,$B$346,$B$345)</f>
        <v>No Generator</v>
      </c>
      <c r="C7" t="str">
        <f t="shared" si="4"/>
        <v>No Generator</v>
      </c>
      <c r="D7" t="str">
        <f t="shared" si="4"/>
        <v>No Generator</v>
      </c>
      <c r="E7" t="str">
        <f t="shared" si="4"/>
        <v>No Generator</v>
      </c>
      <c r="F7" t="str">
        <f t="shared" si="4"/>
        <v>No Generator</v>
      </c>
      <c r="G7" t="str">
        <f t="shared" si="4"/>
        <v>No Generator</v>
      </c>
      <c r="H7" t="str">
        <f t="shared" si="4"/>
        <v>No Generator</v>
      </c>
      <c r="I7" t="str">
        <f t="shared" si="4"/>
        <v>No Generator</v>
      </c>
      <c r="J7" t="str">
        <f t="shared" si="4"/>
        <v>No Generator</v>
      </c>
      <c r="K7" t="str">
        <f t="shared" si="4"/>
        <v>No Generator</v>
      </c>
      <c r="L7" t="str">
        <f t="shared" si="4"/>
        <v>No Generator</v>
      </c>
      <c r="M7" t="str">
        <f t="shared" si="4"/>
        <v>100kW  Diesel</v>
      </c>
      <c r="N7" t="str">
        <f t="shared" si="4"/>
        <v>100kW  Diesel</v>
      </c>
      <c r="O7" t="str">
        <f t="shared" si="4"/>
        <v>100kW  Diesel</v>
      </c>
    </row>
    <row r="8" spans="1:15">
      <c r="A8" s="10" t="s">
        <v>288</v>
      </c>
      <c r="B8" s="48">
        <f t="shared" ref="B8:O8" si="5">$C$220</f>
        <v>-518433.41692267626</v>
      </c>
      <c r="C8" s="48">
        <f t="shared" si="5"/>
        <v>-518433.41692267626</v>
      </c>
      <c r="D8" s="48">
        <f t="shared" si="5"/>
        <v>-518433.41692267626</v>
      </c>
      <c r="E8" s="48">
        <f t="shared" si="5"/>
        <v>-518433.41692267626</v>
      </c>
      <c r="F8" s="48">
        <f t="shared" si="5"/>
        <v>-518433.41692267626</v>
      </c>
      <c r="G8" s="48">
        <f t="shared" si="5"/>
        <v>-518433.41692267626</v>
      </c>
      <c r="H8" s="48">
        <f t="shared" si="5"/>
        <v>-518433.41692267626</v>
      </c>
      <c r="I8" s="48">
        <f t="shared" si="5"/>
        <v>-518433.41692267626</v>
      </c>
      <c r="J8" s="48">
        <f t="shared" si="5"/>
        <v>-518433.41692267626</v>
      </c>
      <c r="K8" s="48">
        <f t="shared" si="5"/>
        <v>-518433.41692267626</v>
      </c>
      <c r="L8" s="48">
        <f t="shared" si="5"/>
        <v>-518433.41692267626</v>
      </c>
      <c r="M8" s="48">
        <f t="shared" si="5"/>
        <v>-518433.41692267626</v>
      </c>
      <c r="N8" s="48">
        <f t="shared" si="5"/>
        <v>-518433.41692267626</v>
      </c>
      <c r="O8" s="48">
        <f t="shared" si="5"/>
        <v>-518433.41692267626</v>
      </c>
    </row>
    <row r="9" spans="1:15">
      <c r="A9" s="10" t="s">
        <v>287</v>
      </c>
      <c r="B9" s="48">
        <f t="shared" ref="B9:O9" si="6">B223</f>
        <v>0</v>
      </c>
      <c r="C9" s="48">
        <f t="shared" si="6"/>
        <v>-550000</v>
      </c>
      <c r="D9" s="48">
        <f t="shared" si="6"/>
        <v>-670000</v>
      </c>
      <c r="E9" s="48">
        <f t="shared" si="6"/>
        <v>-950000</v>
      </c>
      <c r="F9" s="48">
        <f t="shared" si="6"/>
        <v>-1050000</v>
      </c>
      <c r="G9" s="48">
        <f t="shared" si="6"/>
        <v>-1550000</v>
      </c>
      <c r="H9" s="48">
        <f t="shared" si="6"/>
        <v>-2500000</v>
      </c>
      <c r="I9" s="48">
        <f t="shared" si="6"/>
        <v>-2550000</v>
      </c>
      <c r="J9" s="48">
        <f t="shared" si="6"/>
        <v>-2635000</v>
      </c>
      <c r="K9" s="48">
        <f t="shared" si="6"/>
        <v>-2670000</v>
      </c>
      <c r="L9" s="48">
        <f t="shared" si="6"/>
        <v>-3500000</v>
      </c>
      <c r="M9" s="48">
        <f t="shared" si="6"/>
        <v>-4200000</v>
      </c>
      <c r="N9" s="48">
        <f t="shared" si="6"/>
        <v>-4320000</v>
      </c>
      <c r="O9" s="48">
        <f t="shared" si="6"/>
        <v>-5300000</v>
      </c>
    </row>
    <row r="10" spans="1:15">
      <c r="A10" s="10" t="s">
        <v>292</v>
      </c>
      <c r="B10" s="48">
        <f t="shared" ref="B10:O10" si="7">B225</f>
        <v>0</v>
      </c>
      <c r="C10" s="48">
        <f t="shared" si="7"/>
        <v>0</v>
      </c>
      <c r="D10" s="48">
        <f t="shared" si="7"/>
        <v>0</v>
      </c>
      <c r="E10" s="48">
        <f t="shared" si="7"/>
        <v>0</v>
      </c>
      <c r="F10" s="48">
        <f t="shared" si="7"/>
        <v>0</v>
      </c>
      <c r="G10" s="48">
        <f t="shared" si="7"/>
        <v>0</v>
      </c>
      <c r="H10" s="48">
        <f t="shared" si="7"/>
        <v>0</v>
      </c>
      <c r="I10" s="48">
        <f t="shared" si="7"/>
        <v>0</v>
      </c>
      <c r="J10" s="48">
        <f t="shared" si="7"/>
        <v>0</v>
      </c>
      <c r="K10" s="48">
        <f t="shared" si="7"/>
        <v>0</v>
      </c>
      <c r="L10" s="48">
        <f t="shared" si="7"/>
        <v>0</v>
      </c>
      <c r="M10" s="48">
        <f t="shared" si="7"/>
        <v>0</v>
      </c>
      <c r="N10" s="48">
        <f t="shared" si="7"/>
        <v>0</v>
      </c>
      <c r="O10" s="48">
        <f t="shared" si="7"/>
        <v>0</v>
      </c>
    </row>
    <row r="11" spans="1:15">
      <c r="A11" s="10" t="s">
        <v>294</v>
      </c>
      <c r="B11" s="48">
        <f t="shared" ref="B11:O11" si="8">B234</f>
        <v>0</v>
      </c>
      <c r="C11" s="48">
        <f t="shared" si="8"/>
        <v>0</v>
      </c>
      <c r="D11" s="48">
        <f t="shared" si="8"/>
        <v>0</v>
      </c>
      <c r="E11" s="48">
        <f t="shared" si="8"/>
        <v>0</v>
      </c>
      <c r="F11" s="48">
        <f t="shared" si="8"/>
        <v>0</v>
      </c>
      <c r="G11" s="48">
        <f t="shared" si="8"/>
        <v>0</v>
      </c>
      <c r="H11" s="48">
        <f t="shared" si="8"/>
        <v>0</v>
      </c>
      <c r="I11" s="48">
        <f t="shared" si="8"/>
        <v>0</v>
      </c>
      <c r="J11" s="48">
        <f t="shared" si="8"/>
        <v>0</v>
      </c>
      <c r="K11" s="48">
        <f t="shared" si="8"/>
        <v>0</v>
      </c>
      <c r="L11" s="48">
        <f t="shared" si="8"/>
        <v>0</v>
      </c>
      <c r="M11" s="48">
        <f t="shared" si="8"/>
        <v>-41158.26</v>
      </c>
      <c r="N11" s="48">
        <f t="shared" si="8"/>
        <v>-41158.26</v>
      </c>
      <c r="O11" s="48">
        <f t="shared" si="8"/>
        <v>-41158.26</v>
      </c>
    </row>
    <row r="12" spans="1:15">
      <c r="A12" s="10" t="s">
        <v>230</v>
      </c>
      <c r="B12" s="9">
        <f t="shared" ref="B12:O12" si="9">B331</f>
        <v>0.11947751074498869</v>
      </c>
      <c r="C12" s="9">
        <f t="shared" si="9"/>
        <v>0.14776851119738654</v>
      </c>
      <c r="D12" s="9">
        <f t="shared" si="9"/>
        <v>0.1487130527598246</v>
      </c>
      <c r="E12" s="9">
        <f t="shared" si="9"/>
        <v>0.21115122668243735</v>
      </c>
      <c r="F12" s="9">
        <f t="shared" si="9"/>
        <v>0.17794516941037453</v>
      </c>
      <c r="G12" s="9">
        <f t="shared" si="9"/>
        <v>0.20385411722360913</v>
      </c>
      <c r="H12" s="9">
        <f t="shared" si="9"/>
        <v>0.28802951590060855</v>
      </c>
      <c r="I12" s="9">
        <f t="shared" si="9"/>
        <v>0.23418048862148022</v>
      </c>
      <c r="J12" s="9">
        <f t="shared" si="9"/>
        <v>0.23417878078008214</v>
      </c>
      <c r="K12" s="9">
        <f t="shared" si="9"/>
        <v>0.23417964017463178</v>
      </c>
      <c r="L12" s="9">
        <f t="shared" si="9"/>
        <v>0.31236311223426072</v>
      </c>
      <c r="M12" s="9">
        <f t="shared" si="9"/>
        <v>0.38425457150324838</v>
      </c>
      <c r="N12" s="9">
        <f t="shared" si="9"/>
        <v>0.38292675302320633</v>
      </c>
      <c r="O12" s="9">
        <f t="shared" si="9"/>
        <v>0.53347489369392265</v>
      </c>
    </row>
    <row r="13" spans="1:15">
      <c r="A13" s="10" t="s">
        <v>237</v>
      </c>
      <c r="B13" s="11">
        <f t="shared" ref="B13:O13" si="10">B334</f>
        <v>191270.00325581152</v>
      </c>
      <c r="C13" s="11">
        <f t="shared" si="10"/>
        <v>-61431.996073660441</v>
      </c>
      <c r="D13" s="11">
        <f t="shared" si="10"/>
        <v>-68589.539918999188</v>
      </c>
      <c r="E13" s="11">
        <f t="shared" si="10"/>
        <v>1724800.0359558938</v>
      </c>
      <c r="F13" s="11">
        <f t="shared" si="10"/>
        <v>-290826.14128644299</v>
      </c>
      <c r="G13" s="11">
        <f t="shared" si="10"/>
        <v>-367500.01194630843</v>
      </c>
      <c r="H13" s="11">
        <f t="shared" si="10"/>
        <v>777853.01455221046</v>
      </c>
      <c r="I13" s="11">
        <f t="shared" si="10"/>
        <v>-1413984.6108494392</v>
      </c>
      <c r="J13" s="11">
        <f t="shared" si="10"/>
        <v>-1591131.6413758909</v>
      </c>
      <c r="K13" s="11">
        <f t="shared" si="10"/>
        <v>-1634486.0925277239</v>
      </c>
      <c r="L13" s="11">
        <f t="shared" si="10"/>
        <v>-434606.30261843931</v>
      </c>
      <c r="M13" s="11">
        <f t="shared" si="10"/>
        <v>401919.38174707163</v>
      </c>
      <c r="N13" s="11">
        <f t="shared" si="10"/>
        <v>240816.3507729331</v>
      </c>
      <c r="O13" s="11">
        <f t="shared" si="10"/>
        <v>3350161.1791215492</v>
      </c>
    </row>
    <row r="14" spans="1:15">
      <c r="A14" s="10" t="s">
        <v>238</v>
      </c>
      <c r="B14" s="11">
        <f t="shared" ref="B14:O14" si="11">B335</f>
        <v>1453567.3184312936</v>
      </c>
      <c r="C14" s="11">
        <f t="shared" si="11"/>
        <v>1402384.2232963527</v>
      </c>
      <c r="D14" s="11">
        <f t="shared" si="11"/>
        <v>1402450.4602572704</v>
      </c>
      <c r="E14" s="11">
        <f t="shared" si="11"/>
        <v>1273368.2104982659</v>
      </c>
      <c r="F14" s="11">
        <f t="shared" si="11"/>
        <v>1330390.7124349577</v>
      </c>
      <c r="G14" s="11">
        <f t="shared" si="11"/>
        <v>1268149.8055333933</v>
      </c>
      <c r="H14" s="11">
        <f t="shared" si="11"/>
        <v>1078273.0651457515</v>
      </c>
      <c r="I14" s="11">
        <f t="shared" si="11"/>
        <v>1189040.7952111103</v>
      </c>
      <c r="J14" s="11">
        <f t="shared" si="11"/>
        <v>1189002.9455191549</v>
      </c>
      <c r="K14" s="11">
        <f t="shared" si="11"/>
        <v>1189021.9916782472</v>
      </c>
      <c r="L14" s="11">
        <f t="shared" si="11"/>
        <v>1012419.2110463101</v>
      </c>
      <c r="M14" s="11">
        <f t="shared" si="11"/>
        <v>821572.81492860988</v>
      </c>
      <c r="N14" s="11">
        <f t="shared" si="11"/>
        <v>823445.76811469533</v>
      </c>
      <c r="O14" s="11">
        <f t="shared" si="11"/>
        <v>414316.5591119146</v>
      </c>
    </row>
    <row r="15" spans="1:15">
      <c r="A15" s="10" t="s">
        <v>239</v>
      </c>
      <c r="B15" s="11">
        <f t="shared" ref="B15:O15" si="12">B336</f>
        <v>1644837.3216871051</v>
      </c>
      <c r="C15" s="11">
        <f t="shared" si="12"/>
        <v>1340952.2272226922</v>
      </c>
      <c r="D15" s="11">
        <f t="shared" si="12"/>
        <v>1333860.9203382712</v>
      </c>
      <c r="E15" s="11">
        <f t="shared" si="12"/>
        <v>2998168.2464541597</v>
      </c>
      <c r="F15" s="11">
        <f t="shared" si="12"/>
        <v>1039564.5711485147</v>
      </c>
      <c r="G15" s="11">
        <f t="shared" si="12"/>
        <v>900649.79358708486</v>
      </c>
      <c r="H15" s="11">
        <f t="shared" si="12"/>
        <v>1856126.0796979619</v>
      </c>
      <c r="I15" s="11">
        <f t="shared" si="12"/>
        <v>-224943.8156383289</v>
      </c>
      <c r="J15" s="11">
        <f t="shared" si="12"/>
        <v>-402128.69585673604</v>
      </c>
      <c r="K15" s="11">
        <f t="shared" si="12"/>
        <v>-445464.10084947664</v>
      </c>
      <c r="L15" s="11">
        <f t="shared" si="12"/>
        <v>577812.90842787083</v>
      </c>
      <c r="M15" s="11">
        <f t="shared" si="12"/>
        <v>1223492.1966756815</v>
      </c>
      <c r="N15" s="11">
        <f t="shared" si="12"/>
        <v>1064262.1188876284</v>
      </c>
      <c r="O15" s="11">
        <f t="shared" si="12"/>
        <v>3764477.7382334638</v>
      </c>
    </row>
    <row r="16" spans="1:15">
      <c r="A16" s="10" t="s">
        <v>159</v>
      </c>
      <c r="B16" s="9">
        <f t="shared" ref="B16:O16" si="13">B337</f>
        <v>4.1727069822206904</v>
      </c>
      <c r="C16" s="9">
        <f t="shared" si="13"/>
        <v>2.2550639150588627</v>
      </c>
      <c r="D16" s="9">
        <f t="shared" si="13"/>
        <v>2.1223690796175725</v>
      </c>
      <c r="E16" s="9">
        <f t="shared" si="13"/>
        <v>3.0417461301972231</v>
      </c>
      <c r="F16" s="9">
        <f t="shared" si="13"/>
        <v>1.6628044008321234</v>
      </c>
      <c r="G16" s="9">
        <f t="shared" si="13"/>
        <v>1.4354260505648917</v>
      </c>
      <c r="H16" s="9">
        <f t="shared" si="13"/>
        <v>1.6149302712101237</v>
      </c>
      <c r="I16" s="9">
        <f t="shared" si="13"/>
        <v>0.92669099013270284</v>
      </c>
      <c r="J16" s="9">
        <f t="shared" si="13"/>
        <v>0.87247909098104282</v>
      </c>
      <c r="K16" s="9">
        <f t="shared" si="13"/>
        <v>0.86028746955004087</v>
      </c>
      <c r="L16" s="9">
        <f t="shared" si="13"/>
        <v>1.1437905891371869</v>
      </c>
      <c r="M16" s="9">
        <f t="shared" si="13"/>
        <v>1.2593005111161732</v>
      </c>
      <c r="N16" s="9">
        <f t="shared" si="13"/>
        <v>1.2199600629338652</v>
      </c>
      <c r="O16" s="9">
        <f t="shared" si="13"/>
        <v>1.6469916330544632</v>
      </c>
    </row>
    <row r="18" spans="1:15">
      <c r="A18" s="52" t="s">
        <v>310</v>
      </c>
      <c r="B18" s="11">
        <f>-SUM(B8:B11)</f>
        <v>518433.41692267626</v>
      </c>
      <c r="C18" s="11">
        <f t="shared" ref="C18:O18" si="14">-SUM(C8:C11)</f>
        <v>1068433.4169226764</v>
      </c>
      <c r="D18" s="11">
        <f t="shared" si="14"/>
        <v>1188433.4169226764</v>
      </c>
      <c r="E18" s="11">
        <f t="shared" si="14"/>
        <v>1468433.4169226764</v>
      </c>
      <c r="F18" s="11">
        <f t="shared" si="14"/>
        <v>1568433.4169226764</v>
      </c>
      <c r="G18" s="11">
        <f t="shared" si="14"/>
        <v>2068433.4169226764</v>
      </c>
      <c r="H18" s="11">
        <f t="shared" si="14"/>
        <v>3018433.4169226764</v>
      </c>
      <c r="I18" s="11">
        <f t="shared" si="14"/>
        <v>3068433.4169226764</v>
      </c>
      <c r="J18" s="11">
        <f t="shared" si="14"/>
        <v>3153433.4169226764</v>
      </c>
      <c r="K18" s="11">
        <f t="shared" si="14"/>
        <v>3188433.4169226764</v>
      </c>
      <c r="L18" s="11">
        <f t="shared" si="14"/>
        <v>4018433.4169226764</v>
      </c>
      <c r="M18" s="11">
        <f t="shared" si="14"/>
        <v>4759591.6769226762</v>
      </c>
      <c r="N18" s="11">
        <f t="shared" si="14"/>
        <v>4879591.6769226762</v>
      </c>
      <c r="O18" s="11">
        <f t="shared" si="14"/>
        <v>5859591.6769226762</v>
      </c>
    </row>
    <row r="20" spans="1:15">
      <c r="A20" s="14" t="s">
        <v>295</v>
      </c>
    </row>
    <row r="21" spans="1:15">
      <c r="A21" t="s">
        <v>207</v>
      </c>
      <c r="B21" s="14">
        <v>1</v>
      </c>
      <c r="C21" s="14">
        <v>3</v>
      </c>
      <c r="D21" s="14">
        <v>5</v>
      </c>
      <c r="E21" s="14">
        <v>6</v>
      </c>
      <c r="F21" s="14">
        <v>7</v>
      </c>
      <c r="G21" s="14">
        <v>8</v>
      </c>
      <c r="H21" s="14">
        <v>9</v>
      </c>
      <c r="I21" s="14">
        <v>10</v>
      </c>
      <c r="J21" s="14">
        <v>12</v>
      </c>
      <c r="K21" s="14">
        <v>13</v>
      </c>
      <c r="L21" s="14">
        <v>14</v>
      </c>
      <c r="M21" s="14">
        <v>16</v>
      </c>
      <c r="N21" s="14">
        <v>18</v>
      </c>
      <c r="O21" s="14">
        <v>19</v>
      </c>
    </row>
    <row r="22" spans="1:15">
      <c r="A22" t="s">
        <v>63</v>
      </c>
      <c r="B22" t="s">
        <v>212</v>
      </c>
      <c r="C22" t="s">
        <v>212</v>
      </c>
      <c r="D22" t="s">
        <v>212</v>
      </c>
      <c r="E22" t="s">
        <v>212</v>
      </c>
      <c r="F22" t="s">
        <v>212</v>
      </c>
      <c r="G22" t="s">
        <v>212</v>
      </c>
      <c r="H22" t="s">
        <v>212</v>
      </c>
      <c r="I22" t="s">
        <v>212</v>
      </c>
      <c r="J22" t="s">
        <v>212</v>
      </c>
      <c r="K22" t="s">
        <v>212</v>
      </c>
      <c r="L22" t="s">
        <v>212</v>
      </c>
      <c r="M22" t="s">
        <v>212</v>
      </c>
      <c r="N22" t="s">
        <v>212</v>
      </c>
      <c r="O22" t="s">
        <v>212</v>
      </c>
    </row>
    <row r="23" spans="1:15">
      <c r="A23" t="s">
        <v>104</v>
      </c>
    </row>
    <row r="24" spans="1:15">
      <c r="A24" t="s">
        <v>105</v>
      </c>
    </row>
    <row r="25" spans="1:15">
      <c r="A25" t="s">
        <v>106</v>
      </c>
      <c r="B25" t="s">
        <v>107</v>
      </c>
      <c r="C25" t="s">
        <v>107</v>
      </c>
      <c r="D25" t="s">
        <v>107</v>
      </c>
      <c r="E25" t="s">
        <v>107</v>
      </c>
      <c r="F25" t="s">
        <v>107</v>
      </c>
      <c r="G25" t="s">
        <v>107</v>
      </c>
      <c r="H25" t="s">
        <v>107</v>
      </c>
      <c r="I25" t="s">
        <v>107</v>
      </c>
      <c r="J25" t="s">
        <v>107</v>
      </c>
      <c r="K25" t="s">
        <v>107</v>
      </c>
      <c r="L25" t="s">
        <v>107</v>
      </c>
      <c r="M25" t="s">
        <v>107</v>
      </c>
      <c r="N25" t="s">
        <v>107</v>
      </c>
    </row>
    <row r="26" spans="1:15">
      <c r="A26" t="s">
        <v>108</v>
      </c>
    </row>
    <row r="27" spans="1:15">
      <c r="A27" t="s">
        <v>51</v>
      </c>
      <c r="B27" t="s">
        <v>212</v>
      </c>
      <c r="C27" t="s">
        <v>212</v>
      </c>
      <c r="D27" t="s">
        <v>212</v>
      </c>
      <c r="E27" t="s">
        <v>212</v>
      </c>
      <c r="F27" t="s">
        <v>212</v>
      </c>
      <c r="G27" t="s">
        <v>212</v>
      </c>
      <c r="H27" t="s">
        <v>212</v>
      </c>
      <c r="I27" t="s">
        <v>212</v>
      </c>
      <c r="J27" t="s">
        <v>212</v>
      </c>
      <c r="K27" t="s">
        <v>212</v>
      </c>
      <c r="L27" t="s">
        <v>212</v>
      </c>
      <c r="M27" t="s">
        <v>212</v>
      </c>
      <c r="N27" t="s">
        <v>212</v>
      </c>
      <c r="O27" t="s">
        <v>212</v>
      </c>
    </row>
    <row r="28" spans="1:15">
      <c r="A28" t="s">
        <v>55</v>
      </c>
      <c r="B28" t="s">
        <v>212</v>
      </c>
      <c r="C28" t="s">
        <v>212</v>
      </c>
      <c r="D28" t="s">
        <v>212</v>
      </c>
      <c r="E28" t="s">
        <v>212</v>
      </c>
      <c r="F28" t="s">
        <v>212</v>
      </c>
      <c r="G28" t="s">
        <v>212</v>
      </c>
      <c r="H28" t="s">
        <v>212</v>
      </c>
      <c r="I28" t="s">
        <v>212</v>
      </c>
      <c r="J28" t="s">
        <v>212</v>
      </c>
      <c r="K28" t="s">
        <v>212</v>
      </c>
      <c r="L28" t="s">
        <v>212</v>
      </c>
      <c r="M28" t="s">
        <v>212</v>
      </c>
      <c r="N28" t="s">
        <v>212</v>
      </c>
      <c r="O28" t="s">
        <v>212</v>
      </c>
    </row>
    <row r="29" spans="1:15">
      <c r="A29" t="s">
        <v>53</v>
      </c>
      <c r="B29" t="s">
        <v>212</v>
      </c>
      <c r="C29" t="s">
        <v>212</v>
      </c>
      <c r="D29" t="s">
        <v>212</v>
      </c>
      <c r="E29" t="s">
        <v>212</v>
      </c>
      <c r="F29" t="s">
        <v>212</v>
      </c>
      <c r="G29" t="s">
        <v>212</v>
      </c>
      <c r="H29" t="s">
        <v>212</v>
      </c>
      <c r="I29" t="s">
        <v>212</v>
      </c>
      <c r="J29" t="s">
        <v>212</v>
      </c>
      <c r="K29" t="s">
        <v>212</v>
      </c>
      <c r="L29" t="s">
        <v>212</v>
      </c>
      <c r="M29" t="s">
        <v>212</v>
      </c>
      <c r="N29" t="s">
        <v>212</v>
      </c>
      <c r="O29" t="s">
        <v>212</v>
      </c>
    </row>
    <row r="30" spans="1:15">
      <c r="A30" t="s">
        <v>65</v>
      </c>
      <c r="B30" t="s">
        <v>212</v>
      </c>
      <c r="C30" t="s">
        <v>212</v>
      </c>
      <c r="D30" t="s">
        <v>212</v>
      </c>
      <c r="E30" t="s">
        <v>212</v>
      </c>
      <c r="F30" t="s">
        <v>212</v>
      </c>
      <c r="G30" t="s">
        <v>212</v>
      </c>
      <c r="H30" t="s">
        <v>212</v>
      </c>
      <c r="I30" t="s">
        <v>212</v>
      </c>
      <c r="J30" t="s">
        <v>212</v>
      </c>
      <c r="K30" t="s">
        <v>212</v>
      </c>
      <c r="L30" t="s">
        <v>212</v>
      </c>
      <c r="M30" t="s">
        <v>212</v>
      </c>
      <c r="N30" t="s">
        <v>212</v>
      </c>
      <c r="O30" t="s">
        <v>212</v>
      </c>
    </row>
    <row r="31" spans="1:15">
      <c r="A31" t="s">
        <v>66</v>
      </c>
    </row>
    <row r="32" spans="1:15">
      <c r="A32" t="s">
        <v>30</v>
      </c>
    </row>
    <row r="33" spans="1:15">
      <c r="A33" t="s">
        <v>67</v>
      </c>
      <c r="B33" s="9">
        <v>0.25100134000000002</v>
      </c>
      <c r="C33" s="9">
        <v>0.24300258999999999</v>
      </c>
      <c r="D33" s="9">
        <v>0.24301292999999999</v>
      </c>
      <c r="E33" s="9">
        <v>0.22284029</v>
      </c>
      <c r="F33" s="9">
        <v>0.23175161999999999</v>
      </c>
      <c r="G33" s="9">
        <v>0.22202477000000001</v>
      </c>
      <c r="H33" s="9">
        <v>0.19235135</v>
      </c>
      <c r="I33" s="9">
        <v>0.20966182999999999</v>
      </c>
      <c r="J33" s="9">
        <v>0.20965591</v>
      </c>
      <c r="K33" s="9">
        <v>0.20965890000000001</v>
      </c>
      <c r="L33" s="9">
        <v>0.18205988000000001</v>
      </c>
      <c r="M33" s="9">
        <v>0.15223490000000001</v>
      </c>
      <c r="N33" s="9">
        <v>0.15252760000000001</v>
      </c>
      <c r="O33" s="9">
        <v>8.8589950000000001E-2</v>
      </c>
    </row>
    <row r="34" spans="1:15">
      <c r="A34" t="s">
        <v>68</v>
      </c>
      <c r="B34" s="7">
        <v>1</v>
      </c>
      <c r="C34" s="7">
        <v>1</v>
      </c>
      <c r="D34" s="7">
        <v>1</v>
      </c>
      <c r="E34" s="7">
        <v>1</v>
      </c>
      <c r="F34" s="7">
        <v>1</v>
      </c>
      <c r="G34" s="7">
        <v>1</v>
      </c>
      <c r="H34" s="7">
        <v>1</v>
      </c>
      <c r="I34" s="7">
        <v>1</v>
      </c>
      <c r="J34" s="7">
        <v>1</v>
      </c>
      <c r="K34" s="7">
        <v>1</v>
      </c>
      <c r="L34" s="7">
        <v>1</v>
      </c>
      <c r="M34" s="7">
        <v>1</v>
      </c>
      <c r="N34" s="7">
        <v>1</v>
      </c>
      <c r="O34" s="7">
        <v>1</v>
      </c>
    </row>
    <row r="35" spans="1:15">
      <c r="A35" t="s">
        <v>69</v>
      </c>
      <c r="B35">
        <v>13239517</v>
      </c>
      <c r="C35">
        <v>12817608</v>
      </c>
      <c r="D35">
        <v>12818154</v>
      </c>
      <c r="E35">
        <v>11754112</v>
      </c>
      <c r="F35">
        <v>12224156</v>
      </c>
      <c r="G35">
        <v>11711096</v>
      </c>
      <c r="H35">
        <v>10145917</v>
      </c>
      <c r="I35">
        <v>11058990</v>
      </c>
      <c r="J35">
        <v>11058678</v>
      </c>
      <c r="K35">
        <v>11058835</v>
      </c>
      <c r="L35">
        <v>9603075</v>
      </c>
      <c r="M35">
        <v>8029903</v>
      </c>
      <c r="N35">
        <v>8045342</v>
      </c>
      <c r="O35">
        <v>4672836</v>
      </c>
    </row>
    <row r="36" spans="1:15">
      <c r="A36" t="s">
        <v>71</v>
      </c>
      <c r="B36">
        <v>39507282</v>
      </c>
      <c r="C36">
        <v>39929191</v>
      </c>
      <c r="D36">
        <v>39928645</v>
      </c>
      <c r="E36">
        <v>40992687</v>
      </c>
      <c r="F36">
        <v>40522643</v>
      </c>
      <c r="G36">
        <v>41035703</v>
      </c>
      <c r="H36">
        <v>42600882</v>
      </c>
      <c r="I36">
        <v>41687809</v>
      </c>
      <c r="J36">
        <v>41688121</v>
      </c>
      <c r="K36">
        <v>41687964</v>
      </c>
      <c r="L36">
        <v>43143724</v>
      </c>
      <c r="M36">
        <v>44716896</v>
      </c>
      <c r="N36">
        <v>44701457</v>
      </c>
      <c r="O36">
        <v>48073963</v>
      </c>
    </row>
    <row r="37" spans="1:15">
      <c r="A37" t="s">
        <v>72</v>
      </c>
    </row>
    <row r="38" spans="1:15">
      <c r="A38" t="s">
        <v>73</v>
      </c>
      <c r="B38" s="9"/>
      <c r="C38" s="9"/>
      <c r="D38" s="9"/>
      <c r="E38" s="9"/>
      <c r="F38" s="9"/>
      <c r="G38" s="9"/>
      <c r="H38" s="9"/>
      <c r="I38" s="9"/>
      <c r="J38" s="9"/>
      <c r="K38" s="9"/>
      <c r="L38" s="9"/>
      <c r="M38" s="9"/>
      <c r="N38" s="9"/>
      <c r="O38" s="9"/>
    </row>
    <row r="39" spans="1:15">
      <c r="A39" t="s">
        <v>74</v>
      </c>
      <c r="B39" s="7"/>
      <c r="C39" s="7"/>
      <c r="D39" s="7"/>
      <c r="E39" s="7"/>
      <c r="F39" s="7"/>
      <c r="G39" s="7"/>
      <c r="H39" s="7"/>
      <c r="I39" s="7"/>
      <c r="J39" s="7"/>
      <c r="K39" s="7"/>
      <c r="L39" s="7"/>
      <c r="M39" s="7"/>
      <c r="N39" s="7"/>
      <c r="O39" s="7"/>
    </row>
    <row r="40" spans="1:15">
      <c r="A40" t="s">
        <v>75</v>
      </c>
      <c r="B40">
        <v>13239517</v>
      </c>
      <c r="C40">
        <v>12817608</v>
      </c>
      <c r="D40">
        <v>12818154</v>
      </c>
      <c r="E40">
        <v>11754112</v>
      </c>
      <c r="F40">
        <v>12224156</v>
      </c>
      <c r="G40">
        <v>11711096</v>
      </c>
      <c r="H40">
        <v>10145917</v>
      </c>
      <c r="I40">
        <v>11058990</v>
      </c>
      <c r="J40">
        <v>11058678</v>
      </c>
      <c r="K40">
        <v>11058835</v>
      </c>
      <c r="L40">
        <v>9603075</v>
      </c>
      <c r="M40">
        <v>8029903</v>
      </c>
      <c r="N40">
        <v>8045342</v>
      </c>
      <c r="O40">
        <v>4672836</v>
      </c>
    </row>
    <row r="41" spans="1:15">
      <c r="A41" t="s">
        <v>76</v>
      </c>
      <c r="B41">
        <v>39507282</v>
      </c>
      <c r="C41">
        <v>39929191</v>
      </c>
      <c r="D41">
        <v>39928645</v>
      </c>
      <c r="E41">
        <v>40992687</v>
      </c>
      <c r="F41">
        <v>40522643</v>
      </c>
      <c r="G41">
        <v>41035703</v>
      </c>
      <c r="H41">
        <v>42600882</v>
      </c>
      <c r="I41">
        <v>41687809</v>
      </c>
      <c r="J41">
        <v>41688121</v>
      </c>
      <c r="K41">
        <v>41687964</v>
      </c>
      <c r="L41">
        <v>43143724</v>
      </c>
      <c r="M41">
        <v>44716896</v>
      </c>
      <c r="N41">
        <v>44701457</v>
      </c>
      <c r="O41">
        <v>48073963</v>
      </c>
    </row>
    <row r="42" spans="1:15">
      <c r="A42" t="s">
        <v>77</v>
      </c>
    </row>
    <row r="43" spans="1:15">
      <c r="A43" t="s">
        <v>7</v>
      </c>
      <c r="B43" t="s">
        <v>8</v>
      </c>
      <c r="C43" t="s">
        <v>13</v>
      </c>
      <c r="D43" t="s">
        <v>13</v>
      </c>
      <c r="E43" t="s">
        <v>8</v>
      </c>
      <c r="F43" t="s">
        <v>15</v>
      </c>
      <c r="G43" t="s">
        <v>17</v>
      </c>
      <c r="H43" t="s">
        <v>17</v>
      </c>
      <c r="I43" t="s">
        <v>18</v>
      </c>
      <c r="J43" t="s">
        <v>18</v>
      </c>
      <c r="K43" t="s">
        <v>18</v>
      </c>
      <c r="L43" t="s">
        <v>18</v>
      </c>
      <c r="M43" t="s">
        <v>18</v>
      </c>
      <c r="N43" t="s">
        <v>18</v>
      </c>
      <c r="O43" t="s">
        <v>17</v>
      </c>
    </row>
    <row r="44" spans="1:15">
      <c r="A44" t="s">
        <v>9</v>
      </c>
      <c r="B44" t="s">
        <v>8</v>
      </c>
      <c r="C44" t="s">
        <v>8</v>
      </c>
      <c r="D44" t="s">
        <v>8</v>
      </c>
      <c r="E44" t="s">
        <v>8</v>
      </c>
      <c r="F44" t="s">
        <v>8</v>
      </c>
      <c r="G44" t="s">
        <v>8</v>
      </c>
      <c r="H44" t="s">
        <v>8</v>
      </c>
      <c r="I44" t="s">
        <v>8</v>
      </c>
      <c r="J44" t="s">
        <v>8</v>
      </c>
      <c r="K44" t="s">
        <v>8</v>
      </c>
      <c r="L44" t="s">
        <v>8</v>
      </c>
      <c r="M44" t="s">
        <v>8</v>
      </c>
      <c r="N44" t="s">
        <v>8</v>
      </c>
      <c r="O44" t="s">
        <v>8</v>
      </c>
    </row>
    <row r="45" spans="1:15">
      <c r="A45" t="s">
        <v>10</v>
      </c>
      <c r="B45" t="s">
        <v>8</v>
      </c>
      <c r="C45" t="s">
        <v>8</v>
      </c>
      <c r="D45" t="s">
        <v>8</v>
      </c>
      <c r="E45" t="s">
        <v>20</v>
      </c>
      <c r="F45" t="s">
        <v>8</v>
      </c>
      <c r="G45" t="s">
        <v>8</v>
      </c>
      <c r="H45" t="s">
        <v>20</v>
      </c>
      <c r="I45" t="s">
        <v>8</v>
      </c>
      <c r="J45" t="s">
        <v>8</v>
      </c>
      <c r="K45" t="s">
        <v>8</v>
      </c>
      <c r="L45" t="s">
        <v>20</v>
      </c>
      <c r="M45" t="s">
        <v>199</v>
      </c>
      <c r="N45" t="s">
        <v>199</v>
      </c>
      <c r="O45" t="s">
        <v>21</v>
      </c>
    </row>
    <row r="46" spans="1:15">
      <c r="A46" t="s">
        <v>11</v>
      </c>
      <c r="B46" t="s">
        <v>12</v>
      </c>
      <c r="C46" t="s">
        <v>12</v>
      </c>
      <c r="D46" t="s">
        <v>14</v>
      </c>
      <c r="E46" t="s">
        <v>12</v>
      </c>
      <c r="F46" t="s">
        <v>12</v>
      </c>
      <c r="G46" t="s">
        <v>12</v>
      </c>
      <c r="H46" t="s">
        <v>12</v>
      </c>
      <c r="I46" t="s">
        <v>12</v>
      </c>
      <c r="J46" t="s">
        <v>19</v>
      </c>
      <c r="K46" t="s">
        <v>14</v>
      </c>
      <c r="L46" t="s">
        <v>12</v>
      </c>
      <c r="M46" t="s">
        <v>12</v>
      </c>
      <c r="N46" t="s">
        <v>14</v>
      </c>
      <c r="O46" t="s">
        <v>12</v>
      </c>
    </row>
    <row r="47" spans="1:15">
      <c r="A47" t="s">
        <v>78</v>
      </c>
    </row>
    <row r="48" spans="1:15">
      <c r="A48" t="s">
        <v>79</v>
      </c>
      <c r="B48" s="8">
        <v>0</v>
      </c>
      <c r="C48" s="6">
        <v>550000</v>
      </c>
      <c r="D48" s="6">
        <v>670000</v>
      </c>
      <c r="E48" s="6">
        <v>950000</v>
      </c>
      <c r="F48" s="6">
        <v>1050000</v>
      </c>
      <c r="G48" s="6">
        <v>1550000</v>
      </c>
      <c r="H48" s="6">
        <v>2500000</v>
      </c>
      <c r="I48" s="6">
        <v>2550000</v>
      </c>
      <c r="J48" s="6">
        <v>2635000</v>
      </c>
      <c r="K48" s="8">
        <v>2670000</v>
      </c>
      <c r="L48" s="8">
        <v>3500000</v>
      </c>
      <c r="M48" s="8">
        <v>4200000</v>
      </c>
      <c r="N48" s="8">
        <v>4320000</v>
      </c>
      <c r="O48" s="8">
        <v>5300000</v>
      </c>
    </row>
    <row r="49" spans="1:15">
      <c r="A49" t="s">
        <v>80</v>
      </c>
      <c r="B49" s="9">
        <v>0.99999923000000002</v>
      </c>
      <c r="C49" s="9">
        <v>0.99999879000000003</v>
      </c>
      <c r="D49" s="9">
        <v>0.99999950999999998</v>
      </c>
      <c r="E49" s="9">
        <v>0.99999864999999999</v>
      </c>
      <c r="F49" s="9">
        <v>0.99999888000000003</v>
      </c>
      <c r="G49" s="9">
        <v>0.99999899000000003</v>
      </c>
      <c r="H49" s="9">
        <v>0.99999897999999998</v>
      </c>
      <c r="I49" s="9">
        <v>0.99999945999999995</v>
      </c>
      <c r="J49" s="9">
        <v>0.99999932999999996</v>
      </c>
      <c r="K49" s="9">
        <v>0.99999956000000001</v>
      </c>
      <c r="L49" s="9">
        <v>0.99999903000000001</v>
      </c>
      <c r="M49" s="9">
        <v>0.99999921999999997</v>
      </c>
      <c r="N49" s="9">
        <v>0.99999961000000004</v>
      </c>
      <c r="O49" s="9">
        <v>0.99999954999999996</v>
      </c>
    </row>
    <row r="50" spans="1:15">
      <c r="A50" t="s">
        <v>152</v>
      </c>
      <c r="B50">
        <v>14.11</v>
      </c>
      <c r="C50">
        <v>13.46</v>
      </c>
      <c r="D50">
        <v>13.44</v>
      </c>
      <c r="E50">
        <v>11.99</v>
      </c>
      <c r="F50">
        <v>12.75</v>
      </c>
      <c r="G50">
        <v>12.14</v>
      </c>
      <c r="H50">
        <v>10.17</v>
      </c>
      <c r="I50">
        <v>11.42</v>
      </c>
      <c r="J50">
        <v>11.42</v>
      </c>
      <c r="K50">
        <v>11.42</v>
      </c>
      <c r="L50">
        <v>9.59</v>
      </c>
      <c r="M50">
        <v>7.88</v>
      </c>
      <c r="N50">
        <v>7.91</v>
      </c>
      <c r="O50">
        <v>4.32</v>
      </c>
    </row>
    <row r="51" spans="1:15">
      <c r="A51" t="s">
        <v>153</v>
      </c>
      <c r="B51" s="5">
        <v>13485.109843231407</v>
      </c>
      <c r="C51" s="5">
        <v>13055.374437563063</v>
      </c>
      <c r="D51" s="5">
        <v>13055.930565854935</v>
      </c>
      <c r="E51" s="5">
        <v>11972.150602597087</v>
      </c>
      <c r="F51" s="5">
        <v>12450.913911798767</v>
      </c>
      <c r="G51" s="5">
        <v>11928.336656437537</v>
      </c>
      <c r="H51" s="5">
        <v>10334.123609290949</v>
      </c>
      <c r="I51" s="5">
        <v>11264.13409984652</v>
      </c>
      <c r="J51" s="5">
        <v>11263.816312251165</v>
      </c>
      <c r="K51" s="5">
        <v>11263.976224598826</v>
      </c>
      <c r="L51" s="5">
        <v>9781.2118982731336</v>
      </c>
      <c r="M51" s="5">
        <v>8178.8575810955499</v>
      </c>
      <c r="N51" s="5">
        <v>8194.5829743156846</v>
      </c>
      <c r="O51" s="5">
        <v>4759.5170382277602</v>
      </c>
    </row>
    <row r="52" spans="1:15">
      <c r="A52" t="s">
        <v>83</v>
      </c>
      <c r="B52">
        <v>0</v>
      </c>
      <c r="C52">
        <v>0</v>
      </c>
      <c r="D52" s="5">
        <v>0</v>
      </c>
      <c r="E52" s="5">
        <v>581.91</v>
      </c>
      <c r="F52" s="5">
        <v>52871.43</v>
      </c>
      <c r="G52" s="5">
        <v>615958.9</v>
      </c>
      <c r="H52" s="5">
        <v>1147833.68</v>
      </c>
      <c r="I52" s="5">
        <v>3065274.41</v>
      </c>
      <c r="J52" s="5">
        <v>3065274.41</v>
      </c>
      <c r="K52" s="5">
        <v>3065274.41</v>
      </c>
      <c r="L52" s="5">
        <v>4021216.06</v>
      </c>
      <c r="M52" s="5">
        <v>5326401.24</v>
      </c>
      <c r="N52" s="5">
        <v>5308405.09</v>
      </c>
      <c r="O52" s="5">
        <v>11331293.08</v>
      </c>
    </row>
    <row r="53" spans="1:15">
      <c r="A53" t="s">
        <v>84</v>
      </c>
      <c r="B53" s="9">
        <v>0.58579999999999999</v>
      </c>
      <c r="C53" s="5">
        <v>0.56020000000000003</v>
      </c>
      <c r="D53" s="5">
        <v>0.56179999999999997</v>
      </c>
      <c r="E53" s="5">
        <v>0.52729999999999999</v>
      </c>
      <c r="F53" s="5">
        <v>0.5242</v>
      </c>
      <c r="G53" s="5">
        <v>0.49609999999999999</v>
      </c>
      <c r="H53" s="5">
        <v>0.41310000000000002</v>
      </c>
      <c r="I53" s="5">
        <v>0.4627</v>
      </c>
      <c r="J53" s="5">
        <v>0.46379999999999999</v>
      </c>
      <c r="K53" s="7">
        <v>0.46429999999999999</v>
      </c>
      <c r="L53" s="9">
        <v>0.38640000000000002</v>
      </c>
      <c r="M53" s="9">
        <v>0.29249999999999998</v>
      </c>
      <c r="N53" s="9">
        <v>0.29530000000000001</v>
      </c>
      <c r="O53" s="9">
        <v>0.15609999999999999</v>
      </c>
    </row>
    <row r="54" spans="1:15">
      <c r="A54" t="s">
        <v>213</v>
      </c>
      <c r="B54" s="5">
        <v>13485.109843231407</v>
      </c>
      <c r="C54" s="5">
        <v>13055.374437563063</v>
      </c>
      <c r="D54" s="5">
        <v>13055.930565854935</v>
      </c>
      <c r="E54" s="5">
        <v>11972.150602597087</v>
      </c>
      <c r="F54" s="5">
        <v>12450.913911798767</v>
      </c>
      <c r="G54" s="5">
        <v>11928.336656437537</v>
      </c>
      <c r="H54" s="5">
        <v>10334.123609290949</v>
      </c>
      <c r="I54" s="5">
        <v>11264.13409984652</v>
      </c>
      <c r="J54" s="5">
        <v>11263.816312251165</v>
      </c>
      <c r="K54" s="5">
        <v>11263.976224598826</v>
      </c>
      <c r="L54" s="5">
        <v>9781.2118982731336</v>
      </c>
      <c r="M54" s="5">
        <v>8178.8575810955499</v>
      </c>
      <c r="N54" s="5">
        <v>8194.5829743156846</v>
      </c>
      <c r="O54" s="5">
        <v>4759.5170382277602</v>
      </c>
    </row>
    <row r="55" spans="1:15">
      <c r="A55" t="s">
        <v>214</v>
      </c>
      <c r="B55" s="5">
        <v>0</v>
      </c>
      <c r="C55" s="5">
        <v>0</v>
      </c>
      <c r="D55" s="5">
        <v>0</v>
      </c>
      <c r="E55" s="5">
        <v>0</v>
      </c>
      <c r="F55" s="5">
        <v>0</v>
      </c>
      <c r="G55" s="5">
        <v>0</v>
      </c>
      <c r="H55" s="5">
        <v>0</v>
      </c>
      <c r="I55" s="5">
        <v>0</v>
      </c>
      <c r="J55" s="5">
        <v>0</v>
      </c>
      <c r="K55" s="5">
        <v>0</v>
      </c>
      <c r="L55" s="5">
        <v>0</v>
      </c>
      <c r="M55" s="5">
        <v>0</v>
      </c>
      <c r="N55" s="5">
        <v>0</v>
      </c>
      <c r="O55" s="5">
        <v>0</v>
      </c>
    </row>
    <row r="56" spans="1:15">
      <c r="A56" t="s">
        <v>25</v>
      </c>
      <c r="B56" s="9"/>
      <c r="C56" s="9"/>
      <c r="D56" s="9"/>
      <c r="E56" s="9"/>
      <c r="F56" s="9"/>
      <c r="G56" s="9"/>
      <c r="H56" s="9"/>
      <c r="I56" s="9"/>
      <c r="J56" s="9"/>
    </row>
    <row r="57" spans="1:15">
      <c r="A57" t="s">
        <v>85</v>
      </c>
      <c r="B57" s="8">
        <v>0</v>
      </c>
      <c r="C57" s="8">
        <v>0</v>
      </c>
      <c r="D57" s="8">
        <v>0</v>
      </c>
      <c r="E57" s="8">
        <v>0</v>
      </c>
      <c r="F57" s="8">
        <v>0</v>
      </c>
      <c r="G57" s="8">
        <v>0</v>
      </c>
      <c r="H57" s="8">
        <v>0</v>
      </c>
      <c r="I57" s="8">
        <v>0</v>
      </c>
      <c r="J57" s="8">
        <v>0</v>
      </c>
      <c r="K57" s="8">
        <v>0</v>
      </c>
      <c r="L57" s="8">
        <v>0</v>
      </c>
      <c r="M57" s="8">
        <v>0</v>
      </c>
      <c r="N57" s="8">
        <v>0</v>
      </c>
      <c r="O57" s="8">
        <v>0</v>
      </c>
    </row>
    <row r="58" spans="1:15">
      <c r="A58" t="s">
        <v>86</v>
      </c>
      <c r="B58" s="8">
        <v>0</v>
      </c>
      <c r="C58" s="8">
        <v>550000</v>
      </c>
      <c r="D58" s="8">
        <v>670000</v>
      </c>
      <c r="E58" s="8">
        <v>950000</v>
      </c>
      <c r="F58" s="8">
        <v>1050000</v>
      </c>
      <c r="G58" s="8">
        <v>1550000</v>
      </c>
      <c r="H58" s="8">
        <v>2500000</v>
      </c>
      <c r="I58" s="8">
        <v>2550000</v>
      </c>
      <c r="J58" s="8">
        <v>2635000</v>
      </c>
      <c r="K58" s="8">
        <v>2670000</v>
      </c>
      <c r="L58" s="8">
        <v>3500000</v>
      </c>
      <c r="M58" s="8">
        <v>4200000</v>
      </c>
      <c r="N58" s="8">
        <v>4320000</v>
      </c>
      <c r="O58" s="8">
        <v>5300000</v>
      </c>
    </row>
    <row r="59" spans="1:15">
      <c r="A59" t="s">
        <v>87</v>
      </c>
      <c r="B59" s="8">
        <v>0</v>
      </c>
      <c r="C59" s="8">
        <v>550000</v>
      </c>
      <c r="D59" s="8">
        <v>670000</v>
      </c>
      <c r="E59" s="8">
        <v>950000</v>
      </c>
      <c r="F59" s="8">
        <v>1050000</v>
      </c>
      <c r="G59" s="8">
        <v>1550000</v>
      </c>
      <c r="H59" s="8">
        <v>2500000</v>
      </c>
      <c r="I59" s="8">
        <v>2550000</v>
      </c>
      <c r="J59" s="8">
        <v>2635000</v>
      </c>
      <c r="K59" s="8">
        <v>2670000</v>
      </c>
      <c r="L59" s="8">
        <v>3500000</v>
      </c>
      <c r="M59" s="8">
        <v>4200000</v>
      </c>
      <c r="N59" s="8">
        <v>4320000</v>
      </c>
      <c r="O59" s="8">
        <v>5300000</v>
      </c>
    </row>
    <row r="60" spans="1:15">
      <c r="A60" t="s">
        <v>88</v>
      </c>
      <c r="B60" s="8"/>
      <c r="C60" s="8"/>
      <c r="D60" s="8"/>
      <c r="E60" s="8"/>
      <c r="F60" s="8"/>
      <c r="G60" s="8"/>
      <c r="H60" s="8"/>
      <c r="I60" s="8"/>
      <c r="J60" s="8"/>
    </row>
    <row r="61" spans="1:15">
      <c r="A61" t="s">
        <v>89</v>
      </c>
    </row>
    <row r="62" spans="1:15">
      <c r="A62" t="s">
        <v>96</v>
      </c>
      <c r="B62">
        <v>0</v>
      </c>
      <c r="C62">
        <v>10</v>
      </c>
      <c r="D62">
        <v>10</v>
      </c>
      <c r="E62">
        <v>10</v>
      </c>
      <c r="F62">
        <v>20</v>
      </c>
      <c r="G62">
        <v>30</v>
      </c>
      <c r="H62">
        <v>30</v>
      </c>
      <c r="I62">
        <v>50</v>
      </c>
      <c r="J62">
        <v>50</v>
      </c>
      <c r="K62">
        <v>50</v>
      </c>
      <c r="L62">
        <v>50</v>
      </c>
      <c r="M62">
        <v>50</v>
      </c>
      <c r="N62">
        <v>50</v>
      </c>
      <c r="O62">
        <v>30</v>
      </c>
    </row>
    <row r="63" spans="1:15">
      <c r="A63" t="s">
        <v>97</v>
      </c>
      <c r="B63">
        <v>0</v>
      </c>
      <c r="C63">
        <v>0</v>
      </c>
      <c r="D63">
        <v>0</v>
      </c>
      <c r="E63">
        <v>0</v>
      </c>
      <c r="F63">
        <v>0</v>
      </c>
      <c r="G63" s="9">
        <v>0</v>
      </c>
      <c r="H63">
        <v>10</v>
      </c>
      <c r="I63">
        <v>0</v>
      </c>
      <c r="J63">
        <v>0</v>
      </c>
      <c r="K63" s="9">
        <v>0</v>
      </c>
      <c r="L63" s="9">
        <v>10</v>
      </c>
      <c r="M63" s="9">
        <v>20</v>
      </c>
      <c r="N63">
        <v>20</v>
      </c>
      <c r="O63">
        <v>50</v>
      </c>
    </row>
    <row r="64" spans="1:15">
      <c r="A64" t="s">
        <v>90</v>
      </c>
      <c r="B64" s="9">
        <v>0.34949999999999998</v>
      </c>
      <c r="C64" s="9">
        <v>0.34410000000000002</v>
      </c>
      <c r="D64" s="9">
        <v>0.34420000000000001</v>
      </c>
      <c r="E64" s="9">
        <v>0.34100000000000003</v>
      </c>
      <c r="F64" s="9">
        <v>0.32750000000000001</v>
      </c>
      <c r="G64" s="9">
        <v>0.30890000000000001</v>
      </c>
      <c r="H64" s="9">
        <v>0.28439999999999999</v>
      </c>
      <c r="I64" s="9">
        <v>0.2873</v>
      </c>
      <c r="J64" s="9">
        <v>0.2883</v>
      </c>
      <c r="K64" s="9">
        <v>0.2883</v>
      </c>
      <c r="L64" s="9">
        <v>0.26440000000000002</v>
      </c>
      <c r="M64" s="9">
        <v>0.2288</v>
      </c>
      <c r="N64" s="9">
        <v>0.23</v>
      </c>
      <c r="O64" s="9">
        <v>0.1188</v>
      </c>
    </row>
    <row r="65" spans="1:15">
      <c r="A65" t="s">
        <v>91</v>
      </c>
      <c r="B65" s="9">
        <v>0.58579999999999999</v>
      </c>
      <c r="C65" s="9">
        <v>0.56020000000000003</v>
      </c>
      <c r="D65" s="9">
        <v>0.56179999999999997</v>
      </c>
      <c r="E65" s="9">
        <v>0.52729999999999999</v>
      </c>
      <c r="F65" s="9">
        <v>0.5242</v>
      </c>
      <c r="G65" s="9">
        <v>0.49609999999999999</v>
      </c>
      <c r="H65" s="9">
        <v>0.41310000000000002</v>
      </c>
      <c r="I65" s="9">
        <v>0.4627</v>
      </c>
      <c r="J65" s="9">
        <v>0.46379999999999999</v>
      </c>
      <c r="K65" s="7">
        <v>0.46429999999999999</v>
      </c>
      <c r="L65" s="9">
        <v>0.38640000000000002</v>
      </c>
      <c r="M65" s="9">
        <v>0.29249999999999998</v>
      </c>
      <c r="N65" s="9">
        <v>0.29530000000000001</v>
      </c>
      <c r="O65" s="9">
        <v>0.15609999999999999</v>
      </c>
    </row>
    <row r="66" spans="1:15">
      <c r="A66" t="s">
        <v>92</v>
      </c>
      <c r="B66" s="9"/>
      <c r="C66" s="9"/>
      <c r="D66" s="9"/>
      <c r="E66" s="9"/>
      <c r="F66" s="9"/>
      <c r="G66" s="9"/>
      <c r="H66" s="9"/>
      <c r="I66" s="9"/>
      <c r="J66" s="9"/>
    </row>
    <row r="67" spans="1:15">
      <c r="A67" t="s">
        <v>51</v>
      </c>
      <c r="B67" s="9">
        <v>0</v>
      </c>
      <c r="C67" s="9">
        <v>2261093.2999999998</v>
      </c>
      <c r="D67" s="9">
        <v>2261093.2999999998</v>
      </c>
      <c r="E67" s="9">
        <v>0</v>
      </c>
      <c r="F67" s="9">
        <v>4469315.17</v>
      </c>
      <c r="G67" s="9">
        <v>6167321</v>
      </c>
      <c r="H67" s="9">
        <v>6167321</v>
      </c>
      <c r="I67" s="9">
        <v>8240192.0899999999</v>
      </c>
      <c r="J67" s="9">
        <v>8240192.0899999999</v>
      </c>
      <c r="K67">
        <v>8240192.0899999999</v>
      </c>
      <c r="L67">
        <v>8240192.0899999999</v>
      </c>
      <c r="M67">
        <v>8240192.0899999999</v>
      </c>
      <c r="N67">
        <v>8240192.0899999999</v>
      </c>
      <c r="O67">
        <v>6167321</v>
      </c>
    </row>
    <row r="68" spans="1:15">
      <c r="A68" t="s">
        <v>55</v>
      </c>
      <c r="B68" s="9">
        <v>0</v>
      </c>
      <c r="C68" s="9">
        <v>2261093.2999999998</v>
      </c>
      <c r="D68" s="9">
        <v>2261093.2999999998</v>
      </c>
      <c r="E68" s="9">
        <v>0</v>
      </c>
      <c r="F68" s="9">
        <v>4469315.17</v>
      </c>
      <c r="G68">
        <v>6167321</v>
      </c>
      <c r="H68" s="9">
        <v>6167321</v>
      </c>
      <c r="I68">
        <v>8240192.0899999999</v>
      </c>
      <c r="J68" s="9">
        <v>8240192.0899999999</v>
      </c>
      <c r="K68">
        <v>8240192.0899999999</v>
      </c>
      <c r="L68">
        <v>8240192.0899999999</v>
      </c>
      <c r="M68">
        <v>8240192.0899999999</v>
      </c>
      <c r="N68">
        <v>8240192.0899999999</v>
      </c>
      <c r="O68">
        <v>6167321</v>
      </c>
    </row>
    <row r="69" spans="1:15">
      <c r="A69" t="s">
        <v>53</v>
      </c>
      <c r="B69" s="9">
        <v>0</v>
      </c>
      <c r="C69">
        <v>2261093.2999999998</v>
      </c>
      <c r="D69">
        <v>2261093.2999999998</v>
      </c>
      <c r="E69">
        <v>0</v>
      </c>
      <c r="F69">
        <v>4469315.17</v>
      </c>
      <c r="G69">
        <v>6167321</v>
      </c>
      <c r="H69">
        <v>6167321</v>
      </c>
      <c r="I69">
        <v>8240192.0899999999</v>
      </c>
      <c r="J69">
        <v>8240192.0899999999</v>
      </c>
      <c r="K69">
        <v>8240192.0899999999</v>
      </c>
      <c r="L69">
        <v>8240192.0899999999</v>
      </c>
      <c r="M69">
        <v>8240192.0899999999</v>
      </c>
      <c r="N69">
        <v>8240192.0899999999</v>
      </c>
      <c r="O69">
        <v>6167321</v>
      </c>
    </row>
    <row r="70" spans="1:15">
      <c r="A70" t="s">
        <v>65</v>
      </c>
      <c r="B70" s="9">
        <v>0</v>
      </c>
      <c r="C70">
        <v>2261093.2999999998</v>
      </c>
      <c r="D70">
        <v>2261093.2999999998</v>
      </c>
      <c r="E70">
        <v>0</v>
      </c>
      <c r="F70">
        <v>4469315.17</v>
      </c>
      <c r="G70">
        <v>6167321</v>
      </c>
      <c r="H70">
        <v>6167321</v>
      </c>
      <c r="I70">
        <v>8240192.0899999999</v>
      </c>
      <c r="J70">
        <v>8240192.0899999999</v>
      </c>
      <c r="K70">
        <v>8240192.0899999999</v>
      </c>
      <c r="L70">
        <v>8240192.0899999999</v>
      </c>
      <c r="M70">
        <v>8240192.0899999999</v>
      </c>
      <c r="N70">
        <v>8240192.0899999999</v>
      </c>
      <c r="O70">
        <v>6167321</v>
      </c>
    </row>
    <row r="71" spans="1:15">
      <c r="A71" t="s">
        <v>93</v>
      </c>
    </row>
    <row r="72" spans="1:15">
      <c r="A72" t="s">
        <v>51</v>
      </c>
      <c r="B72">
        <v>0</v>
      </c>
      <c r="C72">
        <v>0</v>
      </c>
      <c r="D72">
        <v>0</v>
      </c>
      <c r="E72">
        <v>0</v>
      </c>
      <c r="F72">
        <v>52871.43</v>
      </c>
      <c r="G72">
        <v>615958.9</v>
      </c>
      <c r="H72">
        <v>615958.9</v>
      </c>
      <c r="I72">
        <v>3065274.41</v>
      </c>
      <c r="J72">
        <v>3065274.41</v>
      </c>
      <c r="K72">
        <v>3065274.41</v>
      </c>
      <c r="L72">
        <v>3065274.41</v>
      </c>
      <c r="M72">
        <v>3065274.41</v>
      </c>
      <c r="N72">
        <v>3065274.41</v>
      </c>
      <c r="O72">
        <v>615958.9</v>
      </c>
    </row>
    <row r="73" spans="1:15">
      <c r="A73" t="s">
        <v>55</v>
      </c>
      <c r="B73">
        <v>0</v>
      </c>
      <c r="C73">
        <v>0</v>
      </c>
      <c r="D73">
        <v>0</v>
      </c>
      <c r="E73">
        <v>0</v>
      </c>
      <c r="F73">
        <v>52871.43</v>
      </c>
      <c r="G73">
        <v>615958.9</v>
      </c>
      <c r="H73">
        <v>615958.9</v>
      </c>
      <c r="I73">
        <v>3065274.41</v>
      </c>
      <c r="J73">
        <v>3065274.41</v>
      </c>
      <c r="K73">
        <v>3065274.41</v>
      </c>
      <c r="L73">
        <v>3065274.41</v>
      </c>
      <c r="M73">
        <v>3065274.41</v>
      </c>
      <c r="N73">
        <v>3065274.41</v>
      </c>
      <c r="O73">
        <v>615958.9</v>
      </c>
    </row>
    <row r="74" spans="1:15">
      <c r="A74" t="s">
        <v>53</v>
      </c>
      <c r="B74">
        <v>0</v>
      </c>
      <c r="C74">
        <v>0</v>
      </c>
      <c r="D74">
        <v>0</v>
      </c>
      <c r="E74">
        <v>0</v>
      </c>
      <c r="F74">
        <v>52871.43</v>
      </c>
      <c r="G74">
        <v>615958.9</v>
      </c>
      <c r="H74">
        <v>615958.9</v>
      </c>
      <c r="I74">
        <v>3065274.41</v>
      </c>
      <c r="J74">
        <v>3065274.41</v>
      </c>
      <c r="K74">
        <v>3065274.41</v>
      </c>
      <c r="L74">
        <v>3065274.41</v>
      </c>
      <c r="M74">
        <v>3065274.41</v>
      </c>
      <c r="N74">
        <v>3065274.41</v>
      </c>
      <c r="O74">
        <v>615958.9</v>
      </c>
    </row>
    <row r="75" spans="1:15">
      <c r="A75" t="s">
        <v>65</v>
      </c>
      <c r="B75">
        <v>0</v>
      </c>
      <c r="C75">
        <v>0</v>
      </c>
      <c r="D75">
        <v>0</v>
      </c>
      <c r="E75">
        <v>0</v>
      </c>
      <c r="F75">
        <v>52871.43</v>
      </c>
      <c r="G75">
        <v>615958.9</v>
      </c>
      <c r="H75">
        <v>615958.9</v>
      </c>
      <c r="I75">
        <v>3065274.41</v>
      </c>
      <c r="J75">
        <v>3065274.41</v>
      </c>
      <c r="K75">
        <v>3065274.41</v>
      </c>
      <c r="L75">
        <v>3065274.41</v>
      </c>
      <c r="M75">
        <v>3065274.41</v>
      </c>
      <c r="N75">
        <v>3065274.41</v>
      </c>
      <c r="O75">
        <v>615958.9</v>
      </c>
    </row>
    <row r="76" spans="1:15">
      <c r="A76" t="s">
        <v>94</v>
      </c>
    </row>
    <row r="77" spans="1:15">
      <c r="A77" t="s">
        <v>51</v>
      </c>
      <c r="B77">
        <v>0</v>
      </c>
      <c r="C77">
        <v>0</v>
      </c>
      <c r="D77">
        <v>0</v>
      </c>
      <c r="E77">
        <v>6886679.0800000001</v>
      </c>
      <c r="F77">
        <v>0</v>
      </c>
      <c r="G77">
        <v>0</v>
      </c>
      <c r="H77">
        <v>6390680.2999999998</v>
      </c>
      <c r="I77">
        <v>0</v>
      </c>
      <c r="J77">
        <v>0</v>
      </c>
      <c r="K77">
        <v>0</v>
      </c>
      <c r="L77">
        <v>5906459.4100000001</v>
      </c>
      <c r="M77">
        <v>11710993.369999999</v>
      </c>
      <c r="N77">
        <v>11606394.48</v>
      </c>
      <c r="O77">
        <v>23489192.300000001</v>
      </c>
    </row>
    <row r="78" spans="1:15">
      <c r="A78" t="s">
        <v>55</v>
      </c>
      <c r="B78">
        <v>0</v>
      </c>
      <c r="C78">
        <v>0</v>
      </c>
      <c r="D78">
        <v>0</v>
      </c>
      <c r="E78">
        <v>6886679.0800000001</v>
      </c>
      <c r="F78">
        <v>0</v>
      </c>
      <c r="G78">
        <v>0</v>
      </c>
      <c r="H78">
        <v>6390680.2999999998</v>
      </c>
      <c r="I78">
        <v>0</v>
      </c>
      <c r="J78">
        <v>0</v>
      </c>
      <c r="K78">
        <v>0</v>
      </c>
      <c r="L78">
        <v>5906459.4100000001</v>
      </c>
      <c r="M78">
        <v>11710993.369999999</v>
      </c>
      <c r="N78">
        <v>11606394.48</v>
      </c>
      <c r="O78">
        <v>23489192.300000001</v>
      </c>
    </row>
    <row r="79" spans="1:15">
      <c r="A79" t="s">
        <v>53</v>
      </c>
      <c r="B79">
        <v>0</v>
      </c>
      <c r="C79">
        <v>0</v>
      </c>
      <c r="D79">
        <v>0</v>
      </c>
      <c r="E79">
        <v>6886679.0800000001</v>
      </c>
      <c r="F79">
        <v>0</v>
      </c>
      <c r="G79">
        <v>0</v>
      </c>
      <c r="H79">
        <v>6390680.2999999998</v>
      </c>
      <c r="I79">
        <v>0</v>
      </c>
      <c r="J79">
        <v>0</v>
      </c>
      <c r="K79">
        <v>0</v>
      </c>
      <c r="L79">
        <v>5906459.4100000001</v>
      </c>
      <c r="M79">
        <v>11710993.369999999</v>
      </c>
      <c r="N79">
        <v>11606394.48</v>
      </c>
      <c r="O79">
        <v>23489192.300000001</v>
      </c>
    </row>
    <row r="80" spans="1:15">
      <c r="A80" t="s">
        <v>65</v>
      </c>
      <c r="B80">
        <v>0</v>
      </c>
      <c r="C80">
        <v>0</v>
      </c>
      <c r="D80">
        <v>0</v>
      </c>
      <c r="E80">
        <v>6886679.0800000001</v>
      </c>
      <c r="F80">
        <v>0</v>
      </c>
      <c r="G80">
        <v>0</v>
      </c>
      <c r="H80">
        <v>6390680.2999999998</v>
      </c>
      <c r="I80">
        <v>0</v>
      </c>
      <c r="J80">
        <v>0</v>
      </c>
      <c r="K80">
        <v>0</v>
      </c>
      <c r="L80">
        <v>5906459.4100000001</v>
      </c>
      <c r="M80">
        <v>11710993.369999999</v>
      </c>
      <c r="N80">
        <v>11606394.48</v>
      </c>
      <c r="O80">
        <v>23489192.300000001</v>
      </c>
    </row>
    <row r="81" spans="1:15">
      <c r="A81" t="s">
        <v>95</v>
      </c>
    </row>
    <row r="82" spans="1:15">
      <c r="A82" t="s">
        <v>51</v>
      </c>
      <c r="B82">
        <v>0</v>
      </c>
      <c r="C82">
        <v>0</v>
      </c>
      <c r="D82">
        <v>0</v>
      </c>
      <c r="E82">
        <v>581.91</v>
      </c>
      <c r="F82">
        <v>0</v>
      </c>
      <c r="G82">
        <v>0</v>
      </c>
      <c r="H82">
        <v>531874.79</v>
      </c>
      <c r="I82">
        <v>0</v>
      </c>
      <c r="J82">
        <v>0</v>
      </c>
      <c r="K82">
        <v>0</v>
      </c>
      <c r="L82">
        <v>955941.65</v>
      </c>
      <c r="M82">
        <v>2261126.83</v>
      </c>
      <c r="N82">
        <v>2243130.6800000002</v>
      </c>
      <c r="O82">
        <v>10715334.18</v>
      </c>
    </row>
    <row r="83" spans="1:15">
      <c r="A83" t="s">
        <v>55</v>
      </c>
      <c r="B83">
        <v>0</v>
      </c>
      <c r="C83">
        <v>0</v>
      </c>
      <c r="D83">
        <v>0</v>
      </c>
      <c r="E83">
        <v>581.91</v>
      </c>
      <c r="F83">
        <v>0</v>
      </c>
      <c r="G83">
        <v>0</v>
      </c>
      <c r="H83">
        <v>531874.79</v>
      </c>
      <c r="I83">
        <v>0</v>
      </c>
      <c r="J83">
        <v>0</v>
      </c>
      <c r="K83">
        <v>0</v>
      </c>
      <c r="L83">
        <v>955941.65</v>
      </c>
      <c r="M83">
        <v>2261126.83</v>
      </c>
      <c r="N83">
        <v>2243130.6800000002</v>
      </c>
      <c r="O83">
        <v>10715334.18</v>
      </c>
    </row>
    <row r="84" spans="1:15">
      <c r="A84" t="s">
        <v>53</v>
      </c>
      <c r="B84">
        <v>0</v>
      </c>
      <c r="C84">
        <v>0</v>
      </c>
      <c r="D84">
        <v>0</v>
      </c>
      <c r="E84">
        <v>581.91</v>
      </c>
      <c r="F84">
        <v>0</v>
      </c>
      <c r="G84">
        <v>0</v>
      </c>
      <c r="H84">
        <v>531874.79</v>
      </c>
      <c r="I84">
        <v>0</v>
      </c>
      <c r="J84">
        <v>0</v>
      </c>
      <c r="K84">
        <v>0</v>
      </c>
      <c r="L84">
        <v>955941.65</v>
      </c>
      <c r="M84">
        <v>2261126.83</v>
      </c>
      <c r="N84">
        <v>2243130.6800000002</v>
      </c>
      <c r="O84">
        <v>10715334.18</v>
      </c>
    </row>
    <row r="85" spans="1:15">
      <c r="A85" t="s">
        <v>65</v>
      </c>
      <c r="B85">
        <v>0</v>
      </c>
      <c r="C85">
        <v>0</v>
      </c>
      <c r="D85">
        <v>0</v>
      </c>
      <c r="E85">
        <v>581.91</v>
      </c>
      <c r="F85">
        <v>0</v>
      </c>
      <c r="G85">
        <v>0</v>
      </c>
      <c r="H85">
        <v>531874.79</v>
      </c>
      <c r="I85">
        <v>0</v>
      </c>
      <c r="J85">
        <v>0</v>
      </c>
      <c r="K85">
        <v>0</v>
      </c>
      <c r="L85">
        <v>955941.65</v>
      </c>
      <c r="M85">
        <v>2261126.83</v>
      </c>
      <c r="N85">
        <v>2243130.6800000002</v>
      </c>
      <c r="O85">
        <v>10715334.18</v>
      </c>
    </row>
    <row r="86" spans="1:15">
      <c r="A86" t="s">
        <v>109</v>
      </c>
    </row>
    <row r="87" spans="1:15">
      <c r="A87" t="s">
        <v>110</v>
      </c>
      <c r="B87">
        <v>0</v>
      </c>
      <c r="C87">
        <v>0</v>
      </c>
      <c r="D87">
        <v>0</v>
      </c>
      <c r="E87">
        <v>0</v>
      </c>
      <c r="F87">
        <v>0</v>
      </c>
      <c r="G87">
        <v>0</v>
      </c>
      <c r="H87">
        <v>0</v>
      </c>
      <c r="I87">
        <v>0</v>
      </c>
      <c r="J87">
        <v>0</v>
      </c>
      <c r="K87">
        <v>0</v>
      </c>
      <c r="L87">
        <v>0</v>
      </c>
      <c r="M87">
        <v>0</v>
      </c>
      <c r="N87">
        <v>0</v>
      </c>
      <c r="O87">
        <v>0</v>
      </c>
    </row>
    <row r="88" spans="1:15">
      <c r="A88" t="s">
        <v>112</v>
      </c>
      <c r="B88">
        <v>0</v>
      </c>
      <c r="C88">
        <v>0</v>
      </c>
      <c r="D88">
        <v>0</v>
      </c>
      <c r="E88">
        <v>0</v>
      </c>
      <c r="F88">
        <v>0</v>
      </c>
      <c r="G88">
        <v>0</v>
      </c>
      <c r="H88">
        <v>0</v>
      </c>
      <c r="I88">
        <v>0</v>
      </c>
      <c r="J88">
        <v>0</v>
      </c>
      <c r="K88">
        <v>0</v>
      </c>
      <c r="L88">
        <v>0</v>
      </c>
      <c r="M88">
        <v>0</v>
      </c>
      <c r="N88">
        <v>0</v>
      </c>
      <c r="O88">
        <v>0</v>
      </c>
    </row>
    <row r="89" spans="1:15">
      <c r="A89" t="s">
        <v>113</v>
      </c>
      <c r="B89">
        <v>0</v>
      </c>
      <c r="C89">
        <v>0</v>
      </c>
      <c r="D89">
        <v>0</v>
      </c>
      <c r="E89">
        <v>0</v>
      </c>
      <c r="F89">
        <v>0</v>
      </c>
      <c r="G89">
        <v>0</v>
      </c>
      <c r="H89">
        <v>0</v>
      </c>
      <c r="I89">
        <v>0</v>
      </c>
      <c r="J89">
        <v>0</v>
      </c>
      <c r="K89">
        <v>0</v>
      </c>
      <c r="L89">
        <v>0</v>
      </c>
      <c r="M89">
        <v>0</v>
      </c>
      <c r="N89">
        <v>0</v>
      </c>
      <c r="O89">
        <v>0</v>
      </c>
    </row>
    <row r="90" spans="1:15">
      <c r="A90" t="s">
        <v>114</v>
      </c>
    </row>
    <row r="91" spans="1:15">
      <c r="A91" t="s">
        <v>115</v>
      </c>
      <c r="B91">
        <v>0</v>
      </c>
      <c r="C91">
        <v>0</v>
      </c>
      <c r="D91">
        <v>0</v>
      </c>
      <c r="E91">
        <v>0</v>
      </c>
      <c r="F91">
        <v>0</v>
      </c>
      <c r="G91">
        <v>0</v>
      </c>
      <c r="H91">
        <v>0</v>
      </c>
      <c r="I91">
        <v>0</v>
      </c>
      <c r="J91">
        <v>0</v>
      </c>
      <c r="K91">
        <v>0</v>
      </c>
      <c r="L91">
        <v>0</v>
      </c>
      <c r="M91">
        <v>0</v>
      </c>
      <c r="N91">
        <v>0</v>
      </c>
      <c r="O91">
        <v>0</v>
      </c>
    </row>
    <row r="92" spans="1:15">
      <c r="A92" t="s">
        <v>117</v>
      </c>
      <c r="B92">
        <v>0</v>
      </c>
      <c r="C92">
        <v>0</v>
      </c>
      <c r="D92">
        <v>0</v>
      </c>
      <c r="E92">
        <v>0</v>
      </c>
      <c r="F92">
        <v>0</v>
      </c>
      <c r="G92">
        <v>0</v>
      </c>
      <c r="H92">
        <v>0</v>
      </c>
      <c r="I92">
        <v>0</v>
      </c>
      <c r="J92">
        <v>0</v>
      </c>
      <c r="K92">
        <v>0</v>
      </c>
      <c r="L92">
        <v>0</v>
      </c>
      <c r="M92">
        <v>0</v>
      </c>
      <c r="N92">
        <v>0</v>
      </c>
      <c r="O92">
        <v>0</v>
      </c>
    </row>
    <row r="93" spans="1:15">
      <c r="A93" t="s">
        <v>118</v>
      </c>
      <c r="B93">
        <v>0</v>
      </c>
      <c r="C93">
        <v>0</v>
      </c>
      <c r="D93">
        <v>0</v>
      </c>
      <c r="E93">
        <v>0</v>
      </c>
      <c r="F93">
        <v>0</v>
      </c>
      <c r="G93">
        <v>0</v>
      </c>
      <c r="H93">
        <v>0</v>
      </c>
      <c r="I93">
        <v>0</v>
      </c>
      <c r="J93">
        <v>0</v>
      </c>
      <c r="K93">
        <v>0</v>
      </c>
      <c r="L93">
        <v>0</v>
      </c>
      <c r="M93">
        <v>0</v>
      </c>
      <c r="N93">
        <v>0</v>
      </c>
      <c r="O93">
        <v>0</v>
      </c>
    </row>
    <row r="94" spans="1:15">
      <c r="A94" s="14" t="s">
        <v>50</v>
      </c>
      <c r="B94">
        <v>0</v>
      </c>
      <c r="C94">
        <v>0</v>
      </c>
      <c r="D94">
        <v>0</v>
      </c>
      <c r="E94">
        <v>0</v>
      </c>
      <c r="F94">
        <v>0</v>
      </c>
      <c r="G94">
        <v>0</v>
      </c>
      <c r="H94">
        <v>0</v>
      </c>
      <c r="I94">
        <v>0</v>
      </c>
      <c r="J94">
        <v>0</v>
      </c>
      <c r="K94">
        <v>0</v>
      </c>
      <c r="L94">
        <v>0</v>
      </c>
      <c r="M94">
        <v>0</v>
      </c>
      <c r="N94">
        <v>0</v>
      </c>
      <c r="O94">
        <v>0</v>
      </c>
    </row>
    <row r="95" spans="1:15">
      <c r="A95" t="s">
        <v>119</v>
      </c>
      <c r="B95">
        <v>0</v>
      </c>
      <c r="C95">
        <v>0</v>
      </c>
      <c r="D95">
        <v>0</v>
      </c>
      <c r="E95">
        <v>0</v>
      </c>
      <c r="F95">
        <v>0</v>
      </c>
      <c r="G95">
        <v>0</v>
      </c>
      <c r="H95">
        <v>0</v>
      </c>
      <c r="I95">
        <v>0</v>
      </c>
      <c r="J95">
        <v>0</v>
      </c>
      <c r="K95">
        <v>0</v>
      </c>
      <c r="L95">
        <v>0</v>
      </c>
      <c r="M95">
        <v>0</v>
      </c>
      <c r="N95">
        <v>0</v>
      </c>
      <c r="O95">
        <v>0</v>
      </c>
    </row>
    <row r="96" spans="1:15">
      <c r="A96" t="s">
        <v>51</v>
      </c>
      <c r="B96">
        <v>0</v>
      </c>
      <c r="C96">
        <v>0</v>
      </c>
      <c r="D96">
        <v>0</v>
      </c>
      <c r="E96">
        <v>0</v>
      </c>
      <c r="F96">
        <v>0</v>
      </c>
      <c r="G96">
        <v>0</v>
      </c>
      <c r="H96">
        <v>0</v>
      </c>
      <c r="I96">
        <v>0</v>
      </c>
      <c r="J96">
        <v>0</v>
      </c>
      <c r="K96">
        <v>0</v>
      </c>
      <c r="L96">
        <v>0</v>
      </c>
      <c r="M96">
        <v>0</v>
      </c>
      <c r="N96">
        <v>0</v>
      </c>
      <c r="O96">
        <v>0</v>
      </c>
    </row>
    <row r="97" spans="1:15">
      <c r="A97" t="s">
        <v>53</v>
      </c>
      <c r="B97">
        <v>189.4</v>
      </c>
      <c r="C97">
        <v>189.4</v>
      </c>
      <c r="D97">
        <v>189.4</v>
      </c>
      <c r="E97">
        <v>189.4</v>
      </c>
      <c r="F97">
        <v>189.4</v>
      </c>
      <c r="G97">
        <v>189.4</v>
      </c>
      <c r="H97">
        <v>189.4</v>
      </c>
      <c r="I97">
        <v>189.4</v>
      </c>
      <c r="J97">
        <v>189.4</v>
      </c>
      <c r="K97">
        <v>189.4</v>
      </c>
      <c r="L97">
        <v>189.4</v>
      </c>
      <c r="M97">
        <v>189.4</v>
      </c>
      <c r="N97">
        <v>189.4</v>
      </c>
      <c r="O97">
        <v>189.4</v>
      </c>
    </row>
    <row r="98" spans="1:15">
      <c r="A98" t="s">
        <v>55</v>
      </c>
      <c r="B98">
        <v>379.4</v>
      </c>
      <c r="C98">
        <v>379.4</v>
      </c>
      <c r="D98">
        <v>379.4</v>
      </c>
      <c r="E98">
        <v>379.4</v>
      </c>
      <c r="F98">
        <v>379.4</v>
      </c>
      <c r="G98">
        <v>379.4</v>
      </c>
      <c r="H98">
        <v>379.4</v>
      </c>
      <c r="I98">
        <v>379.4</v>
      </c>
      <c r="J98">
        <v>379.4</v>
      </c>
      <c r="K98">
        <v>379.4</v>
      </c>
      <c r="L98">
        <v>379.4</v>
      </c>
      <c r="M98">
        <v>379.4</v>
      </c>
      <c r="N98">
        <v>379.4</v>
      </c>
      <c r="O98">
        <v>379.4</v>
      </c>
    </row>
    <row r="99" spans="1:15">
      <c r="A99" t="s">
        <v>123</v>
      </c>
    </row>
    <row r="100" spans="1:15">
      <c r="A100" t="s">
        <v>125</v>
      </c>
    </row>
    <row r="101" spans="1:15">
      <c r="A101" t="s">
        <v>124</v>
      </c>
    </row>
    <row r="102" spans="1:15">
      <c r="A102" t="s">
        <v>30</v>
      </c>
      <c r="G102" s="9"/>
      <c r="K102" s="9"/>
      <c r="L102" s="9"/>
      <c r="M102" s="9"/>
    </row>
    <row r="103" spans="1:15">
      <c r="A103" t="s">
        <v>67</v>
      </c>
      <c r="B103" s="9">
        <v>0.99999921000000003</v>
      </c>
      <c r="C103" s="9">
        <v>0.99999877000000004</v>
      </c>
      <c r="D103" s="9">
        <v>0.99999948999999999</v>
      </c>
      <c r="E103" s="9">
        <v>0.99999861000000001</v>
      </c>
      <c r="F103" s="9">
        <v>0.99999886999999998</v>
      </c>
      <c r="G103" s="9">
        <v>0.99999897999999998</v>
      </c>
      <c r="H103" s="9">
        <v>0.99999894</v>
      </c>
      <c r="I103" s="9">
        <v>0.99999943999999996</v>
      </c>
      <c r="J103" s="9">
        <v>0.99999930000000004</v>
      </c>
      <c r="K103" s="9">
        <v>0.99999952999999997</v>
      </c>
      <c r="L103" s="9">
        <v>0.99999899000000003</v>
      </c>
      <c r="M103" s="9">
        <v>0.99999917999999999</v>
      </c>
      <c r="N103" s="9">
        <v>0.99999959000000005</v>
      </c>
      <c r="O103" s="9">
        <v>0.99999952000000003</v>
      </c>
    </row>
    <row r="104" spans="1:15">
      <c r="A104" t="s">
        <v>68</v>
      </c>
      <c r="B104" s="7">
        <v>1</v>
      </c>
      <c r="C104" s="9">
        <v>1</v>
      </c>
      <c r="D104" s="9">
        <v>1</v>
      </c>
      <c r="E104" s="9">
        <v>1</v>
      </c>
      <c r="F104" s="9">
        <v>1</v>
      </c>
      <c r="G104" s="7">
        <v>1</v>
      </c>
      <c r="H104" s="9">
        <v>1</v>
      </c>
      <c r="I104" s="9">
        <v>1</v>
      </c>
      <c r="J104" s="9">
        <v>1</v>
      </c>
      <c r="K104" s="7">
        <v>1</v>
      </c>
      <c r="L104" s="7">
        <v>1</v>
      </c>
      <c r="M104" s="7">
        <v>1</v>
      </c>
      <c r="N104" s="7">
        <v>1</v>
      </c>
      <c r="O104" s="7">
        <v>1</v>
      </c>
    </row>
    <row r="105" spans="1:15">
      <c r="A105" t="s">
        <v>69</v>
      </c>
      <c r="B105" s="9">
        <v>41495902</v>
      </c>
      <c r="C105" s="7">
        <v>41495884</v>
      </c>
      <c r="D105" s="7">
        <v>41495914</v>
      </c>
      <c r="E105" s="9">
        <v>41495877</v>
      </c>
      <c r="F105" s="7">
        <v>41495888</v>
      </c>
      <c r="G105" s="9">
        <v>41495892</v>
      </c>
      <c r="H105" s="9">
        <v>41495891</v>
      </c>
      <c r="I105" s="9">
        <v>41495912</v>
      </c>
      <c r="J105" s="9">
        <v>41495906</v>
      </c>
      <c r="K105">
        <v>41495915</v>
      </c>
      <c r="L105">
        <v>41495893</v>
      </c>
      <c r="M105">
        <v>41495901</v>
      </c>
      <c r="N105">
        <v>41495918</v>
      </c>
      <c r="O105">
        <v>41495915</v>
      </c>
    </row>
    <row r="106" spans="1:15">
      <c r="A106" t="s">
        <v>71</v>
      </c>
      <c r="B106" s="7">
        <v>32</v>
      </c>
      <c r="C106" s="9">
        <v>50</v>
      </c>
      <c r="D106" s="9">
        <v>21</v>
      </c>
      <c r="E106" s="9">
        <v>57</v>
      </c>
      <c r="F106" s="9">
        <v>47</v>
      </c>
      <c r="G106" s="7">
        <v>42</v>
      </c>
      <c r="H106" s="9">
        <v>44</v>
      </c>
      <c r="I106" s="7">
        <v>23</v>
      </c>
      <c r="J106" s="9">
        <v>29</v>
      </c>
      <c r="K106">
        <v>19</v>
      </c>
      <c r="L106">
        <v>41</v>
      </c>
      <c r="M106">
        <v>33</v>
      </c>
      <c r="N106">
        <v>17</v>
      </c>
      <c r="O106">
        <v>19</v>
      </c>
    </row>
    <row r="107" spans="1:15">
      <c r="A107" t="s">
        <v>72</v>
      </c>
      <c r="B107" s="7"/>
      <c r="C107" s="7"/>
      <c r="D107" s="7"/>
      <c r="E107" s="7"/>
      <c r="F107" s="7"/>
      <c r="G107" s="9"/>
      <c r="H107" s="7"/>
      <c r="J107" s="7"/>
      <c r="K107" s="9"/>
      <c r="L107" s="9"/>
      <c r="M107" s="9"/>
    </row>
    <row r="108" spans="1:15">
      <c r="A108" t="s">
        <v>73</v>
      </c>
      <c r="B108" s="9">
        <v>0.99999923000000002</v>
      </c>
      <c r="C108" s="9">
        <v>0.99999879000000003</v>
      </c>
      <c r="D108" s="9">
        <v>0.99999950999999998</v>
      </c>
      <c r="E108" s="9">
        <v>0.99999864999999999</v>
      </c>
      <c r="F108" s="9">
        <v>0.99999888000000003</v>
      </c>
      <c r="G108" s="9">
        <v>0.99999899000000003</v>
      </c>
      <c r="H108" s="9">
        <v>0.99999897999999998</v>
      </c>
      <c r="I108" s="9">
        <v>0.99999945999999995</v>
      </c>
      <c r="J108" s="9">
        <v>0.99999932999999996</v>
      </c>
      <c r="K108" s="9">
        <v>0.99999956000000001</v>
      </c>
      <c r="L108" s="9">
        <v>0.99999903000000001</v>
      </c>
      <c r="M108" s="9">
        <v>0.99999921999999997</v>
      </c>
      <c r="N108" s="9">
        <v>0.99999961000000004</v>
      </c>
      <c r="O108" s="9">
        <v>0.99999954999999996</v>
      </c>
    </row>
    <row r="109" spans="1:15">
      <c r="A109" t="s">
        <v>74</v>
      </c>
      <c r="B109" s="7">
        <v>1</v>
      </c>
      <c r="C109" s="9">
        <v>1</v>
      </c>
      <c r="D109" s="9">
        <v>1</v>
      </c>
      <c r="E109" s="9">
        <v>1</v>
      </c>
      <c r="F109" s="9">
        <v>1</v>
      </c>
      <c r="G109" s="7">
        <v>1</v>
      </c>
      <c r="H109" s="9">
        <v>1</v>
      </c>
      <c r="I109" s="9">
        <v>1</v>
      </c>
      <c r="J109" s="9">
        <v>1</v>
      </c>
      <c r="K109" s="7">
        <v>1</v>
      </c>
      <c r="L109" s="7">
        <v>1</v>
      </c>
      <c r="M109" s="7">
        <v>1</v>
      </c>
      <c r="N109" s="7">
        <v>1</v>
      </c>
      <c r="O109" s="7">
        <v>1</v>
      </c>
    </row>
    <row r="110" spans="1:15">
      <c r="A110" t="s">
        <v>75</v>
      </c>
      <c r="B110" s="9">
        <v>41495902.549999997</v>
      </c>
      <c r="C110" s="7">
        <v>41495884.520000003</v>
      </c>
      <c r="D110" s="7">
        <v>41495910.359999999</v>
      </c>
      <c r="E110" s="9">
        <v>41495874.719999999</v>
      </c>
      <c r="F110" s="7">
        <v>41495888.350000001</v>
      </c>
      <c r="G110" s="9">
        <v>41495892.960000001</v>
      </c>
      <c r="H110" s="9">
        <v>41495888.189999998</v>
      </c>
      <c r="I110" s="9">
        <v>41495912.170000002</v>
      </c>
      <c r="J110" s="9">
        <v>41495902.899999999</v>
      </c>
      <c r="K110">
        <v>41495912.189999998</v>
      </c>
      <c r="L110">
        <v>41495890.409999996</v>
      </c>
      <c r="M110">
        <v>41495898.210000001</v>
      </c>
      <c r="N110">
        <v>41495914.210000001</v>
      </c>
      <c r="O110">
        <v>41495911.850000001</v>
      </c>
    </row>
    <row r="111" spans="1:15">
      <c r="A111" t="s">
        <v>76</v>
      </c>
      <c r="B111" s="7">
        <v>32.14</v>
      </c>
      <c r="C111" s="9">
        <v>50.17</v>
      </c>
      <c r="D111" s="9">
        <v>20.2</v>
      </c>
      <c r="E111" s="9">
        <v>55.84</v>
      </c>
      <c r="F111" s="9">
        <v>46.34</v>
      </c>
      <c r="G111" s="7">
        <v>41.73</v>
      </c>
      <c r="H111" s="9">
        <v>42.36</v>
      </c>
      <c r="I111" s="7">
        <v>22.52</v>
      </c>
      <c r="J111" s="9">
        <v>27.66</v>
      </c>
      <c r="K111">
        <v>18.37</v>
      </c>
      <c r="L111">
        <v>40.14</v>
      </c>
      <c r="M111">
        <v>32.35</v>
      </c>
      <c r="N111">
        <v>16.350000000000001</v>
      </c>
      <c r="O111">
        <v>18.7</v>
      </c>
    </row>
    <row r="112" spans="1:15">
      <c r="A112" t="s">
        <v>126</v>
      </c>
      <c r="B112" s="7"/>
      <c r="C112" s="7"/>
      <c r="D112" s="7"/>
      <c r="E112" s="7"/>
      <c r="F112" s="7"/>
      <c r="H112" s="7"/>
      <c r="J112" s="7"/>
    </row>
    <row r="113" spans="1:15">
      <c r="A113" t="s">
        <v>51</v>
      </c>
      <c r="B113" s="9">
        <v>0.17</v>
      </c>
      <c r="C113">
        <v>0.17</v>
      </c>
      <c r="D113">
        <v>1.17</v>
      </c>
      <c r="E113">
        <v>1.17</v>
      </c>
      <c r="F113">
        <v>0.17</v>
      </c>
      <c r="G113">
        <v>0.17</v>
      </c>
      <c r="H113">
        <v>1.17</v>
      </c>
      <c r="I113">
        <v>0.17</v>
      </c>
      <c r="J113">
        <v>1.17</v>
      </c>
      <c r="K113">
        <v>1.17</v>
      </c>
      <c r="L113">
        <v>1.17</v>
      </c>
      <c r="M113">
        <v>1.17</v>
      </c>
      <c r="N113">
        <v>1.17</v>
      </c>
      <c r="O113">
        <v>1.17</v>
      </c>
    </row>
    <row r="114" spans="1:15">
      <c r="A114" t="s">
        <v>55</v>
      </c>
      <c r="B114" s="7">
        <v>0.17</v>
      </c>
      <c r="C114">
        <v>0.17</v>
      </c>
      <c r="D114">
        <v>1.17</v>
      </c>
      <c r="E114">
        <v>1.17</v>
      </c>
      <c r="F114">
        <v>0.17</v>
      </c>
      <c r="G114">
        <v>0.17</v>
      </c>
      <c r="H114">
        <v>1.17</v>
      </c>
      <c r="I114">
        <v>0.17</v>
      </c>
      <c r="J114">
        <v>1.17</v>
      </c>
      <c r="K114">
        <v>1.17</v>
      </c>
      <c r="L114">
        <v>1.17</v>
      </c>
      <c r="M114">
        <v>1.17</v>
      </c>
      <c r="N114">
        <v>1.17</v>
      </c>
      <c r="O114">
        <v>1.17</v>
      </c>
    </row>
    <row r="115" spans="1:15">
      <c r="A115" t="s">
        <v>53</v>
      </c>
      <c r="B115">
        <v>0.17</v>
      </c>
      <c r="C115">
        <v>0.17</v>
      </c>
      <c r="D115">
        <v>1.17</v>
      </c>
      <c r="E115">
        <v>1.17</v>
      </c>
      <c r="F115">
        <v>0.17</v>
      </c>
      <c r="G115">
        <v>0.17</v>
      </c>
      <c r="H115">
        <v>1.17</v>
      </c>
      <c r="I115">
        <v>0.17</v>
      </c>
      <c r="J115">
        <v>1.17</v>
      </c>
      <c r="K115">
        <v>1.17</v>
      </c>
      <c r="L115">
        <v>1.17</v>
      </c>
      <c r="M115">
        <v>1.17</v>
      </c>
      <c r="N115">
        <v>1.17</v>
      </c>
      <c r="O115">
        <v>1.17</v>
      </c>
    </row>
    <row r="116" spans="1:15">
      <c r="A116" t="s">
        <v>127</v>
      </c>
      <c r="G116" s="7"/>
      <c r="K116" s="7"/>
      <c r="L116" s="7"/>
      <c r="M116" s="7"/>
    </row>
    <row r="117" spans="1:15">
      <c r="A117" t="s">
        <v>51</v>
      </c>
      <c r="B117" s="7">
        <v>0</v>
      </c>
      <c r="C117" s="7">
        <v>0</v>
      </c>
      <c r="D117" s="7">
        <v>0</v>
      </c>
      <c r="E117" s="7">
        <v>0</v>
      </c>
      <c r="F117" s="7">
        <v>0</v>
      </c>
      <c r="G117" s="7">
        <v>0</v>
      </c>
      <c r="H117" s="7">
        <v>0</v>
      </c>
      <c r="I117" s="7">
        <v>0</v>
      </c>
      <c r="J117" s="7">
        <v>0</v>
      </c>
      <c r="K117" s="7">
        <v>0</v>
      </c>
      <c r="L117" s="7">
        <v>0</v>
      </c>
      <c r="M117" s="7">
        <v>0</v>
      </c>
      <c r="N117" s="7">
        <v>0</v>
      </c>
      <c r="O117" s="7">
        <v>0</v>
      </c>
    </row>
    <row r="118" spans="1:15">
      <c r="A118" t="s">
        <v>55</v>
      </c>
      <c r="B118" s="7">
        <v>0</v>
      </c>
      <c r="C118" s="7">
        <v>0.87770000000000004</v>
      </c>
      <c r="D118" s="7">
        <v>0.87770000000000004</v>
      </c>
      <c r="E118" s="7">
        <v>1</v>
      </c>
      <c r="F118" s="7">
        <v>1</v>
      </c>
      <c r="G118" s="7">
        <v>1</v>
      </c>
      <c r="H118" s="7">
        <v>1</v>
      </c>
      <c r="I118" s="7">
        <v>1</v>
      </c>
      <c r="J118" s="7">
        <v>1</v>
      </c>
      <c r="K118" s="7">
        <v>1</v>
      </c>
      <c r="L118" s="7">
        <v>1</v>
      </c>
      <c r="M118" s="7">
        <v>1</v>
      </c>
      <c r="N118" s="7">
        <v>1</v>
      </c>
      <c r="O118" s="7">
        <v>1</v>
      </c>
    </row>
    <row r="119" spans="1:15">
      <c r="A119" t="s">
        <v>53</v>
      </c>
      <c r="B119" s="7">
        <v>0</v>
      </c>
      <c r="C119" s="7">
        <v>7.5300000000000006E-2</v>
      </c>
      <c r="D119" s="7">
        <v>7.5300000000000006E-2</v>
      </c>
      <c r="E119" s="7">
        <v>0.17649999999999999</v>
      </c>
      <c r="F119" s="7">
        <v>0.14810000000000001</v>
      </c>
      <c r="G119" s="7">
        <v>0.20100000000000001</v>
      </c>
      <c r="H119" s="7">
        <v>0.3584</v>
      </c>
      <c r="I119" s="7">
        <v>0.26219999999999999</v>
      </c>
      <c r="J119" s="7">
        <v>0.26219999999999999</v>
      </c>
      <c r="K119" s="9">
        <v>0.26219999999999999</v>
      </c>
      <c r="L119" s="9">
        <v>0.40410000000000001</v>
      </c>
      <c r="M119" s="9">
        <v>0.54090000000000005</v>
      </c>
      <c r="N119" s="9">
        <v>0.53800000000000003</v>
      </c>
      <c r="O119" s="9">
        <v>0.75319999999999998</v>
      </c>
    </row>
    <row r="120" spans="1:15">
      <c r="A120" t="s">
        <v>128</v>
      </c>
      <c r="B120" s="7"/>
      <c r="C120" s="7"/>
      <c r="D120" s="7"/>
      <c r="E120" s="7"/>
      <c r="F120" s="7"/>
      <c r="G120" s="7"/>
      <c r="H120" s="7"/>
      <c r="I120" s="7"/>
      <c r="J120" s="7"/>
      <c r="K120" s="7"/>
      <c r="L120" s="7"/>
      <c r="M120" s="7"/>
    </row>
    <row r="121" spans="1:15">
      <c r="A121" t="s">
        <v>129</v>
      </c>
      <c r="B121" s="7">
        <v>0</v>
      </c>
      <c r="C121" s="7">
        <v>0</v>
      </c>
      <c r="D121" s="7">
        <v>0</v>
      </c>
      <c r="E121" s="7">
        <v>0</v>
      </c>
      <c r="F121" s="7">
        <v>0</v>
      </c>
      <c r="G121" s="9">
        <v>0</v>
      </c>
      <c r="H121" s="7">
        <v>0</v>
      </c>
      <c r="I121" s="9">
        <v>0</v>
      </c>
      <c r="J121" s="7">
        <v>0</v>
      </c>
      <c r="K121" s="7">
        <v>0</v>
      </c>
      <c r="L121" s="7">
        <v>0</v>
      </c>
      <c r="M121" s="7">
        <v>0</v>
      </c>
      <c r="N121" s="7">
        <v>0</v>
      </c>
      <c r="O121" s="7">
        <v>0</v>
      </c>
    </row>
    <row r="122" spans="1:15">
      <c r="A122" t="s">
        <v>130</v>
      </c>
      <c r="B122" s="7">
        <v>0</v>
      </c>
      <c r="C122" s="9">
        <v>0.50900000000000001</v>
      </c>
      <c r="D122" s="9">
        <v>0.50900000000000001</v>
      </c>
      <c r="E122" s="9">
        <v>7.8E-2</v>
      </c>
      <c r="F122" s="9">
        <v>0.50900000000000001</v>
      </c>
      <c r="G122" s="9">
        <v>0.50900000000000001</v>
      </c>
      <c r="H122" s="9">
        <v>3.9100000000000003E-2</v>
      </c>
      <c r="I122" s="7">
        <v>0.50900000000000001</v>
      </c>
      <c r="J122" s="9">
        <v>0.50900000000000001</v>
      </c>
      <c r="K122" s="9">
        <v>0.50900000000000001</v>
      </c>
      <c r="L122" s="9">
        <v>4.2599999999999999E-2</v>
      </c>
      <c r="M122" s="9">
        <v>3.5499999999999997E-2</v>
      </c>
      <c r="N122" s="9">
        <v>3.7499999999999999E-2</v>
      </c>
      <c r="O122" s="9">
        <v>4.65E-2</v>
      </c>
    </row>
    <row r="123" spans="1:15">
      <c r="A123" t="s">
        <v>131</v>
      </c>
      <c r="B123" s="7">
        <v>0</v>
      </c>
      <c r="C123" s="9">
        <v>0.37259999999999999</v>
      </c>
      <c r="D123" s="9">
        <v>0.37259999999999999</v>
      </c>
      <c r="E123" s="7">
        <v>0.65200000000000002</v>
      </c>
      <c r="F123" s="9">
        <v>0.27610000000000001</v>
      </c>
      <c r="G123" s="7">
        <v>0.22620000000000001</v>
      </c>
      <c r="H123" s="7">
        <v>0.44850000000000001</v>
      </c>
      <c r="I123" s="7">
        <v>0.17130000000000001</v>
      </c>
      <c r="J123" s="7">
        <v>0.17130000000000001</v>
      </c>
      <c r="K123" s="9">
        <v>0.17130000000000001</v>
      </c>
      <c r="L123" s="7">
        <v>0.4194</v>
      </c>
      <c r="M123" s="9">
        <v>0.1837</v>
      </c>
      <c r="N123" s="9">
        <v>0.18679999999999999</v>
      </c>
      <c r="O123" s="7">
        <v>0.1108</v>
      </c>
    </row>
    <row r="124" spans="1:15">
      <c r="A124" t="s">
        <v>132</v>
      </c>
      <c r="B124" s="7">
        <v>0</v>
      </c>
      <c r="C124" s="7">
        <v>0.1004</v>
      </c>
      <c r="D124" s="7">
        <v>0.1004</v>
      </c>
      <c r="E124" s="7">
        <v>0.26379999999999998</v>
      </c>
      <c r="F124" s="7">
        <v>9.6500000000000002E-2</v>
      </c>
      <c r="G124" s="9">
        <v>8.72E-2</v>
      </c>
      <c r="H124" s="7">
        <v>0.26629999999999998</v>
      </c>
      <c r="I124" s="9">
        <v>7.85E-2</v>
      </c>
      <c r="J124" s="7">
        <v>7.85E-2</v>
      </c>
      <c r="K124" s="9">
        <v>7.85E-2</v>
      </c>
      <c r="L124" s="9">
        <v>0.23530000000000001</v>
      </c>
      <c r="M124" s="9">
        <v>0.27850000000000003</v>
      </c>
      <c r="N124" s="9">
        <v>0.27639999999999998</v>
      </c>
      <c r="O124" s="9">
        <v>7.6200000000000004E-2</v>
      </c>
    </row>
    <row r="125" spans="1:15">
      <c r="A125" t="s">
        <v>133</v>
      </c>
      <c r="B125" s="7">
        <v>0</v>
      </c>
      <c r="C125" s="9">
        <v>1.7399999999999999E-2</v>
      </c>
      <c r="D125" s="9">
        <v>1.7399999999999999E-2</v>
      </c>
      <c r="E125" s="9">
        <v>5.8999999999999999E-3</v>
      </c>
      <c r="F125" s="9">
        <v>6.3600000000000004E-2</v>
      </c>
      <c r="G125" s="9">
        <v>5.9200000000000003E-2</v>
      </c>
      <c r="H125" s="9">
        <v>8.3199999999999996E-2</v>
      </c>
      <c r="I125" s="9">
        <v>4.9599999999999998E-2</v>
      </c>
      <c r="J125" s="9">
        <v>4.9599999999999998E-2</v>
      </c>
      <c r="K125" s="9">
        <v>4.9599999999999998E-2</v>
      </c>
      <c r="L125" s="9">
        <v>7.4499999999999997E-2</v>
      </c>
      <c r="M125" s="9">
        <v>0.1946</v>
      </c>
      <c r="N125" s="9">
        <v>0.193</v>
      </c>
      <c r="O125" s="9">
        <v>0.1007</v>
      </c>
    </row>
    <row r="126" spans="1:15">
      <c r="A126" t="s">
        <v>134</v>
      </c>
      <c r="B126" s="7">
        <v>0</v>
      </c>
      <c r="C126" s="9">
        <v>5.9999999999999995E-4</v>
      </c>
      <c r="D126" s="9">
        <v>5.9999999999999995E-4</v>
      </c>
      <c r="E126" s="9">
        <v>2.0000000000000001E-4</v>
      </c>
      <c r="F126" s="9">
        <v>5.4800000000000001E-2</v>
      </c>
      <c r="G126" s="9">
        <v>0.11840000000000001</v>
      </c>
      <c r="H126" s="9">
        <v>0.16289999999999999</v>
      </c>
      <c r="I126" s="9">
        <v>0.19159999999999999</v>
      </c>
      <c r="J126" s="9">
        <v>0.19159999999999999</v>
      </c>
      <c r="K126" s="9">
        <v>0.19159999999999999</v>
      </c>
      <c r="L126" s="9">
        <v>0.2281</v>
      </c>
      <c r="M126" s="9">
        <v>0.30759999999999998</v>
      </c>
      <c r="N126" s="9">
        <v>0.30630000000000002</v>
      </c>
      <c r="O126" s="9">
        <v>0.66579999999999995</v>
      </c>
    </row>
    <row r="127" spans="1:15">
      <c r="A127" t="s">
        <v>135</v>
      </c>
      <c r="B127" s="7">
        <v>0</v>
      </c>
      <c r="C127" s="9">
        <v>0</v>
      </c>
      <c r="D127" s="9">
        <v>0</v>
      </c>
      <c r="E127" s="9">
        <v>0</v>
      </c>
      <c r="F127" s="9">
        <v>0</v>
      </c>
      <c r="G127" s="9">
        <v>0</v>
      </c>
      <c r="H127" s="9">
        <v>0</v>
      </c>
      <c r="I127" s="9">
        <v>0</v>
      </c>
      <c r="J127" s="9">
        <v>0</v>
      </c>
      <c r="K127" s="7">
        <v>0</v>
      </c>
      <c r="L127" s="7">
        <v>0</v>
      </c>
      <c r="M127" s="7">
        <v>0</v>
      </c>
      <c r="N127" s="7">
        <v>0</v>
      </c>
      <c r="O127" s="7">
        <v>0</v>
      </c>
    </row>
    <row r="128" spans="1:15">
      <c r="A128" t="s">
        <v>136</v>
      </c>
      <c r="B128" s="7">
        <v>0</v>
      </c>
      <c r="C128" s="9">
        <v>0</v>
      </c>
      <c r="D128" s="9">
        <v>0</v>
      </c>
      <c r="E128" s="9">
        <v>0</v>
      </c>
      <c r="F128" s="9">
        <v>0</v>
      </c>
      <c r="G128" s="9">
        <v>0</v>
      </c>
      <c r="H128" s="9">
        <v>0</v>
      </c>
      <c r="I128" s="9">
        <v>0</v>
      </c>
      <c r="J128" s="9">
        <v>0</v>
      </c>
      <c r="K128" s="7">
        <v>0</v>
      </c>
      <c r="L128" s="7">
        <v>0</v>
      </c>
      <c r="M128" s="7">
        <v>0</v>
      </c>
      <c r="N128" s="7">
        <v>0</v>
      </c>
      <c r="O128" s="7">
        <v>0</v>
      </c>
    </row>
    <row r="129" spans="1:15">
      <c r="A129" t="s">
        <v>137</v>
      </c>
      <c r="B129" s="7">
        <v>0</v>
      </c>
      <c r="C129" s="9">
        <v>0</v>
      </c>
      <c r="D129" s="9">
        <v>0</v>
      </c>
      <c r="E129" s="9">
        <v>0</v>
      </c>
      <c r="F129" s="9">
        <v>0</v>
      </c>
      <c r="G129" s="7">
        <v>0</v>
      </c>
      <c r="H129" s="9">
        <v>0</v>
      </c>
      <c r="I129" s="7">
        <v>0</v>
      </c>
      <c r="J129" s="9">
        <v>0</v>
      </c>
      <c r="K129" s="7">
        <v>0</v>
      </c>
      <c r="L129" s="7">
        <v>0</v>
      </c>
      <c r="M129" s="7">
        <v>0</v>
      </c>
      <c r="N129" s="7">
        <v>0</v>
      </c>
      <c r="O129" s="7">
        <v>0</v>
      </c>
    </row>
    <row r="130" spans="1:15">
      <c r="A130" t="s">
        <v>138</v>
      </c>
      <c r="B130" s="7">
        <v>0</v>
      </c>
      <c r="C130" s="7">
        <v>0</v>
      </c>
      <c r="D130" s="7">
        <v>0</v>
      </c>
      <c r="E130" s="7">
        <v>0</v>
      </c>
      <c r="F130" s="7">
        <v>0</v>
      </c>
      <c r="G130" s="7">
        <v>0</v>
      </c>
      <c r="H130" s="7">
        <v>0</v>
      </c>
      <c r="I130" s="7">
        <v>0</v>
      </c>
      <c r="J130" s="7">
        <v>0</v>
      </c>
      <c r="K130" s="7">
        <v>0</v>
      </c>
      <c r="L130" s="7">
        <v>0</v>
      </c>
      <c r="M130" s="7">
        <v>0</v>
      </c>
      <c r="N130" s="7">
        <v>0</v>
      </c>
      <c r="O130" s="7">
        <v>0</v>
      </c>
    </row>
    <row r="131" spans="1:15">
      <c r="A131" t="s">
        <v>139</v>
      </c>
      <c r="B131" s="7">
        <v>0</v>
      </c>
      <c r="C131" s="7">
        <v>0</v>
      </c>
      <c r="D131" s="7">
        <v>0</v>
      </c>
      <c r="E131" s="7">
        <v>0</v>
      </c>
      <c r="F131" s="7">
        <v>0</v>
      </c>
      <c r="G131" s="7">
        <v>0</v>
      </c>
      <c r="H131" s="7">
        <v>0</v>
      </c>
      <c r="I131" s="7">
        <v>0</v>
      </c>
      <c r="J131" s="7">
        <v>0</v>
      </c>
      <c r="K131" s="7">
        <v>0</v>
      </c>
      <c r="L131" s="7">
        <v>0</v>
      </c>
      <c r="M131" s="7">
        <v>0</v>
      </c>
      <c r="N131" s="7">
        <v>0</v>
      </c>
      <c r="O131" s="7">
        <v>0</v>
      </c>
    </row>
    <row r="132" spans="1:15">
      <c r="A132" t="s">
        <v>140</v>
      </c>
      <c r="B132" s="7"/>
      <c r="C132" s="7"/>
      <c r="D132" s="7"/>
      <c r="E132" s="7"/>
      <c r="F132" s="7"/>
      <c r="G132" s="7"/>
      <c r="H132" s="7"/>
      <c r="I132" s="7"/>
      <c r="J132" s="7"/>
    </row>
    <row r="133" spans="1:15">
      <c r="A133" t="s">
        <v>51</v>
      </c>
      <c r="B133" s="7">
        <v>3089472.54</v>
      </c>
      <c r="C133" s="7">
        <v>2946975.24</v>
      </c>
      <c r="D133" s="7">
        <v>2944325.42</v>
      </c>
      <c r="E133" s="7">
        <v>2625680.08</v>
      </c>
      <c r="F133" s="7">
        <v>2793270.05</v>
      </c>
      <c r="G133" s="7">
        <v>2659711.17</v>
      </c>
      <c r="H133" s="7">
        <v>2226976.62</v>
      </c>
      <c r="I133" s="7">
        <v>2500514.41</v>
      </c>
      <c r="J133" s="7">
        <v>2502021.41</v>
      </c>
      <c r="K133">
        <v>2501159.42</v>
      </c>
      <c r="L133">
        <v>2100439.35</v>
      </c>
      <c r="M133">
        <v>1726370.85</v>
      </c>
      <c r="N133">
        <v>1733154.08</v>
      </c>
      <c r="O133">
        <v>945130.84</v>
      </c>
    </row>
    <row r="134" spans="1:15">
      <c r="A134" t="s">
        <v>55</v>
      </c>
      <c r="B134" s="7">
        <v>3089472.54</v>
      </c>
      <c r="C134" s="7">
        <v>2946975.24</v>
      </c>
      <c r="D134" s="7">
        <v>2944325.42</v>
      </c>
      <c r="E134" s="7">
        <v>2625680.08</v>
      </c>
      <c r="F134" s="7">
        <v>2793270.05</v>
      </c>
      <c r="G134">
        <v>2659711.17</v>
      </c>
      <c r="H134" s="7">
        <v>2226976.62</v>
      </c>
      <c r="I134">
        <v>2500514.41</v>
      </c>
      <c r="J134" s="7">
        <v>2502021.41</v>
      </c>
      <c r="K134">
        <v>2501159.42</v>
      </c>
      <c r="L134">
        <v>2100439.35</v>
      </c>
      <c r="M134">
        <v>1726370.85</v>
      </c>
      <c r="N134">
        <v>1733154.08</v>
      </c>
      <c r="O134">
        <v>945130.84</v>
      </c>
    </row>
    <row r="135" spans="1:15">
      <c r="A135" t="s">
        <v>53</v>
      </c>
      <c r="B135" s="7">
        <v>3089472.54</v>
      </c>
      <c r="C135">
        <v>2946975.24</v>
      </c>
      <c r="D135">
        <v>2944325.42</v>
      </c>
      <c r="E135">
        <v>2625680.08</v>
      </c>
      <c r="F135">
        <v>2793270.05</v>
      </c>
      <c r="G135">
        <v>2659711.17</v>
      </c>
      <c r="H135">
        <v>2226976.62</v>
      </c>
      <c r="I135">
        <v>2500514.41</v>
      </c>
      <c r="J135">
        <v>2502021.41</v>
      </c>
      <c r="K135">
        <v>2501159.42</v>
      </c>
      <c r="L135">
        <v>2100439.35</v>
      </c>
      <c r="M135">
        <v>1726370.85</v>
      </c>
      <c r="N135">
        <v>1733154.08</v>
      </c>
      <c r="O135">
        <v>945130.84</v>
      </c>
    </row>
    <row r="136" spans="1:15">
      <c r="A136" t="s">
        <v>141</v>
      </c>
      <c r="B136" s="7"/>
    </row>
    <row r="137" spans="1:15">
      <c r="A137" t="s">
        <v>51</v>
      </c>
      <c r="B137" t="s">
        <v>142</v>
      </c>
      <c r="C137" t="s">
        <v>142</v>
      </c>
      <c r="D137" t="s">
        <v>142</v>
      </c>
      <c r="E137" t="s">
        <v>142</v>
      </c>
      <c r="F137" t="s">
        <v>142</v>
      </c>
      <c r="G137" t="s">
        <v>142</v>
      </c>
      <c r="H137" t="s">
        <v>142</v>
      </c>
      <c r="I137" t="s">
        <v>142</v>
      </c>
      <c r="J137" t="s">
        <v>142</v>
      </c>
      <c r="K137" t="s">
        <v>142</v>
      </c>
      <c r="L137" t="s">
        <v>142</v>
      </c>
      <c r="M137" t="s">
        <v>142</v>
      </c>
      <c r="N137" t="s">
        <v>142</v>
      </c>
      <c r="O137" t="s">
        <v>142</v>
      </c>
    </row>
    <row r="138" spans="1:15">
      <c r="A138" t="s">
        <v>55</v>
      </c>
      <c r="B138" t="s">
        <v>142</v>
      </c>
      <c r="C138" t="s">
        <v>142</v>
      </c>
      <c r="D138" t="s">
        <v>142</v>
      </c>
      <c r="E138" t="s">
        <v>142</v>
      </c>
      <c r="F138" t="s">
        <v>142</v>
      </c>
      <c r="G138" t="s">
        <v>142</v>
      </c>
      <c r="H138" t="s">
        <v>142</v>
      </c>
      <c r="I138" t="s">
        <v>142</v>
      </c>
      <c r="J138" t="s">
        <v>142</v>
      </c>
      <c r="K138" t="s">
        <v>142</v>
      </c>
      <c r="L138" t="s">
        <v>142</v>
      </c>
      <c r="M138" t="s">
        <v>142</v>
      </c>
      <c r="N138" t="s">
        <v>142</v>
      </c>
      <c r="O138" t="s">
        <v>142</v>
      </c>
    </row>
    <row r="139" spans="1:15">
      <c r="A139" t="s">
        <v>53</v>
      </c>
      <c r="B139" t="s">
        <v>142</v>
      </c>
      <c r="C139" t="s">
        <v>142</v>
      </c>
      <c r="D139" t="s">
        <v>142</v>
      </c>
      <c r="E139" t="s">
        <v>142</v>
      </c>
      <c r="F139" t="s">
        <v>142</v>
      </c>
      <c r="G139" t="s">
        <v>142</v>
      </c>
      <c r="H139" t="s">
        <v>142</v>
      </c>
      <c r="I139" t="s">
        <v>142</v>
      </c>
      <c r="J139" t="s">
        <v>142</v>
      </c>
      <c r="K139" t="s">
        <v>142</v>
      </c>
      <c r="L139" t="s">
        <v>142</v>
      </c>
      <c r="M139" t="s">
        <v>142</v>
      </c>
      <c r="N139" t="s">
        <v>142</v>
      </c>
      <c r="O139" t="s">
        <v>142</v>
      </c>
    </row>
    <row r="140" spans="1:15">
      <c r="A140" t="s">
        <v>143</v>
      </c>
      <c r="G140" s="7"/>
      <c r="K140" s="7"/>
      <c r="L140" s="7"/>
      <c r="M140" s="7"/>
    </row>
    <row r="141" spans="1:15">
      <c r="A141" t="s">
        <v>51</v>
      </c>
      <c r="B141" s="9">
        <v>1.04E-2</v>
      </c>
      <c r="C141" s="9">
        <v>1.04E-2</v>
      </c>
      <c r="D141" s="9">
        <v>1.04E-2</v>
      </c>
      <c r="E141" s="9">
        <v>5.8700000000000002E-2</v>
      </c>
      <c r="F141" s="7">
        <v>0</v>
      </c>
      <c r="G141" s="7">
        <v>0</v>
      </c>
      <c r="H141" s="7">
        <v>0</v>
      </c>
      <c r="I141" s="7">
        <v>0</v>
      </c>
      <c r="J141" s="7">
        <v>0</v>
      </c>
      <c r="K141" s="7">
        <v>0</v>
      </c>
      <c r="L141" s="7">
        <v>0</v>
      </c>
      <c r="M141" s="7">
        <v>0</v>
      </c>
      <c r="N141" s="7">
        <v>0</v>
      </c>
      <c r="O141" s="7">
        <v>0</v>
      </c>
    </row>
    <row r="142" spans="1:15">
      <c r="A142" t="s">
        <v>55</v>
      </c>
      <c r="B142" s="7">
        <v>1</v>
      </c>
      <c r="C142" s="9">
        <v>1</v>
      </c>
      <c r="D142" s="7">
        <v>1</v>
      </c>
      <c r="E142" s="7">
        <v>1</v>
      </c>
      <c r="F142" s="7">
        <v>1</v>
      </c>
      <c r="G142" s="7">
        <v>1</v>
      </c>
      <c r="H142" s="7">
        <v>1</v>
      </c>
      <c r="I142" s="7">
        <v>1</v>
      </c>
      <c r="J142" s="7">
        <v>1</v>
      </c>
      <c r="K142" s="7">
        <v>1</v>
      </c>
      <c r="L142" s="7">
        <v>1</v>
      </c>
      <c r="M142" s="7">
        <v>1</v>
      </c>
      <c r="N142" s="7">
        <v>1</v>
      </c>
      <c r="O142" s="7">
        <v>1</v>
      </c>
    </row>
    <row r="143" spans="1:15">
      <c r="A143" t="s">
        <v>53</v>
      </c>
      <c r="B143" s="9">
        <v>0.40250000000000002</v>
      </c>
      <c r="C143" s="7">
        <v>0.434</v>
      </c>
      <c r="D143" s="7">
        <v>0.43230000000000002</v>
      </c>
      <c r="E143" s="7">
        <v>0.4703</v>
      </c>
      <c r="F143" s="7">
        <v>0.47710000000000002</v>
      </c>
      <c r="G143" s="7">
        <v>0.50700000000000001</v>
      </c>
      <c r="H143" s="7">
        <v>0.59040000000000004</v>
      </c>
      <c r="I143" s="7">
        <v>0.54379999999999995</v>
      </c>
      <c r="J143" s="7">
        <v>0.54459999999999997</v>
      </c>
      <c r="K143" s="9">
        <v>0.54420000000000002</v>
      </c>
      <c r="L143" s="9">
        <v>0.61829999999999996</v>
      </c>
      <c r="M143" s="9">
        <v>0.7127</v>
      </c>
      <c r="N143" s="9">
        <v>0.71079999999999999</v>
      </c>
      <c r="O143" s="9">
        <v>0.84770000000000001</v>
      </c>
    </row>
    <row r="144" spans="1:15">
      <c r="A144" t="s">
        <v>128</v>
      </c>
      <c r="B144" s="7"/>
      <c r="C144" s="9"/>
      <c r="D144" s="9"/>
      <c r="E144" s="7"/>
      <c r="F144" s="7"/>
      <c r="G144" s="7"/>
      <c r="H144" s="7"/>
      <c r="I144" s="7"/>
      <c r="J144" s="7"/>
      <c r="K144" s="7"/>
      <c r="L144" s="7"/>
      <c r="M144" s="7"/>
    </row>
    <row r="145" spans="1:21">
      <c r="A145" t="s">
        <v>129</v>
      </c>
      <c r="B145" s="9">
        <v>0</v>
      </c>
      <c r="C145" s="7">
        <v>0</v>
      </c>
      <c r="D145" s="7">
        <v>0</v>
      </c>
      <c r="E145" s="7">
        <v>0</v>
      </c>
      <c r="F145" s="7">
        <v>0</v>
      </c>
      <c r="G145" s="9">
        <v>0</v>
      </c>
      <c r="H145" s="7">
        <v>0</v>
      </c>
      <c r="I145" s="9">
        <v>0</v>
      </c>
      <c r="J145" s="7">
        <v>0</v>
      </c>
      <c r="K145" s="7">
        <v>0</v>
      </c>
      <c r="L145" s="7">
        <v>0</v>
      </c>
      <c r="M145" s="7">
        <v>0</v>
      </c>
      <c r="N145" s="7">
        <v>0</v>
      </c>
      <c r="O145" s="7">
        <v>0</v>
      </c>
    </row>
    <row r="146" spans="1:21">
      <c r="A146" t="s">
        <v>130</v>
      </c>
      <c r="B146" s="9">
        <v>0</v>
      </c>
      <c r="C146" s="9">
        <v>0</v>
      </c>
      <c r="D146" s="9">
        <v>0</v>
      </c>
      <c r="E146" s="9">
        <v>0</v>
      </c>
      <c r="F146" s="9">
        <v>0</v>
      </c>
      <c r="G146" s="9">
        <v>0</v>
      </c>
      <c r="H146" s="9">
        <v>1E-4</v>
      </c>
      <c r="I146" s="7">
        <v>1E-4</v>
      </c>
      <c r="J146" s="9">
        <v>2.0000000000000001E-4</v>
      </c>
      <c r="K146" s="9">
        <v>1E-4</v>
      </c>
      <c r="L146" s="9">
        <v>1E-4</v>
      </c>
      <c r="M146" s="9">
        <v>2.9999999999999997E-4</v>
      </c>
      <c r="N146" s="9">
        <v>2.0000000000000001E-4</v>
      </c>
      <c r="O146" s="9">
        <v>5.9999999999999995E-4</v>
      </c>
    </row>
    <row r="147" spans="1:21">
      <c r="A147" t="s">
        <v>144</v>
      </c>
      <c r="B147" s="7">
        <v>1E-4</v>
      </c>
      <c r="C147" s="7">
        <v>1E-4</v>
      </c>
      <c r="D147" s="7">
        <v>1E-4</v>
      </c>
      <c r="E147" s="7">
        <v>0</v>
      </c>
      <c r="F147" s="9">
        <v>1E-4</v>
      </c>
      <c r="G147" s="7">
        <v>0</v>
      </c>
      <c r="H147" s="7">
        <v>0</v>
      </c>
      <c r="I147" s="7">
        <v>1E-4</v>
      </c>
      <c r="J147" s="7">
        <v>1E-4</v>
      </c>
      <c r="K147" s="7">
        <v>1E-4</v>
      </c>
      <c r="L147" s="7">
        <v>0</v>
      </c>
      <c r="M147" s="7">
        <v>0</v>
      </c>
      <c r="N147" s="7">
        <v>0</v>
      </c>
      <c r="O147" s="7">
        <v>0</v>
      </c>
    </row>
    <row r="148" spans="1:21">
      <c r="A148" t="s">
        <v>145</v>
      </c>
      <c r="B148" s="9">
        <v>1E-3</v>
      </c>
      <c r="C148" s="7">
        <v>8.0000000000000004E-4</v>
      </c>
      <c r="D148" s="7">
        <v>6.9999999999999999E-4</v>
      </c>
      <c r="E148" s="7">
        <v>2.0000000000000001E-4</v>
      </c>
      <c r="F148" s="7">
        <v>6.9999999999999999E-4</v>
      </c>
      <c r="G148" s="7">
        <v>5.9999999999999995E-4</v>
      </c>
      <c r="H148" s="7">
        <v>1E-4</v>
      </c>
      <c r="I148" s="9">
        <v>6.9999999999999999E-4</v>
      </c>
      <c r="J148" s="7">
        <v>6.9999999999999999E-4</v>
      </c>
      <c r="K148" s="9">
        <v>6.9999999999999999E-4</v>
      </c>
      <c r="L148" s="7">
        <v>1E-4</v>
      </c>
      <c r="M148" s="9">
        <v>1E-4</v>
      </c>
      <c r="N148" s="7">
        <v>1E-4</v>
      </c>
      <c r="O148" s="7">
        <v>1E-4</v>
      </c>
    </row>
    <row r="149" spans="1:21">
      <c r="A149" t="s">
        <v>146</v>
      </c>
      <c r="B149" s="9">
        <v>4.8999999999999998E-3</v>
      </c>
      <c r="C149" s="7">
        <v>4.5999999999999999E-3</v>
      </c>
      <c r="D149" s="7">
        <v>4.4999999999999997E-3</v>
      </c>
      <c r="E149" s="7">
        <v>1.2999999999999999E-3</v>
      </c>
      <c r="F149" s="7">
        <v>4.0000000000000001E-3</v>
      </c>
      <c r="G149" s="7">
        <v>3.5000000000000001E-3</v>
      </c>
      <c r="H149" s="7">
        <v>8.0000000000000004E-4</v>
      </c>
      <c r="I149" s="7">
        <v>3.3E-3</v>
      </c>
      <c r="J149" s="9">
        <v>3.3E-3</v>
      </c>
      <c r="K149" s="9">
        <v>3.2000000000000002E-3</v>
      </c>
      <c r="L149" s="9">
        <v>8.0000000000000004E-4</v>
      </c>
      <c r="M149" s="9">
        <v>8.0000000000000004E-4</v>
      </c>
      <c r="N149" s="9">
        <v>8.9999999999999998E-4</v>
      </c>
      <c r="O149" s="9">
        <v>2.9999999999999997E-4</v>
      </c>
    </row>
    <row r="150" spans="1:21">
      <c r="A150" t="s">
        <v>147</v>
      </c>
      <c r="B150" s="7">
        <v>3.44E-2</v>
      </c>
      <c r="C150" s="7">
        <v>3.4500000000000003E-2</v>
      </c>
      <c r="D150" s="7">
        <v>3.4599999999999999E-2</v>
      </c>
      <c r="E150" s="7">
        <v>1.2E-2</v>
      </c>
      <c r="F150" s="7">
        <v>3.0200000000000001E-2</v>
      </c>
      <c r="G150" s="9">
        <v>2.7799999999999998E-2</v>
      </c>
      <c r="H150" s="7">
        <v>7.4999999999999997E-3</v>
      </c>
      <c r="I150" s="7">
        <v>2.5399999999999999E-2</v>
      </c>
      <c r="J150" s="7">
        <v>2.4500000000000001E-2</v>
      </c>
      <c r="K150" s="9">
        <v>2.4199999999999999E-2</v>
      </c>
      <c r="L150" s="9">
        <v>7.1999999999999998E-3</v>
      </c>
      <c r="M150" s="9">
        <v>4.7000000000000002E-3</v>
      </c>
      <c r="N150" s="9">
        <v>5.0000000000000001E-3</v>
      </c>
      <c r="O150" s="9">
        <v>2.8999999999999998E-3</v>
      </c>
    </row>
    <row r="151" spans="1:21">
      <c r="A151" t="s">
        <v>131</v>
      </c>
      <c r="B151" s="7">
        <v>6.8699999999999997E-2</v>
      </c>
      <c r="C151" s="9">
        <v>6.6199999999999995E-2</v>
      </c>
      <c r="D151" s="9">
        <v>6.8500000000000005E-2</v>
      </c>
      <c r="E151" s="9">
        <v>2.7699999999999999E-2</v>
      </c>
      <c r="F151" s="9">
        <v>5.9700000000000003E-2</v>
      </c>
      <c r="G151" s="9">
        <v>5.5599999999999997E-2</v>
      </c>
      <c r="H151" s="9">
        <v>1.89E-2</v>
      </c>
      <c r="I151" s="9">
        <v>5.21E-2</v>
      </c>
      <c r="J151" s="7">
        <v>5.0299999999999997E-2</v>
      </c>
      <c r="K151" s="9">
        <v>5.04E-2</v>
      </c>
      <c r="L151" s="9">
        <v>1.8700000000000001E-2</v>
      </c>
      <c r="M151" s="9">
        <v>1.2999999999999999E-2</v>
      </c>
      <c r="N151" s="9">
        <v>1.3599999999999999E-2</v>
      </c>
      <c r="O151" s="9">
        <v>9.5999999999999992E-3</v>
      </c>
    </row>
    <row r="152" spans="1:21">
      <c r="A152" t="s">
        <v>148</v>
      </c>
      <c r="B152" s="9">
        <v>9.64E-2</v>
      </c>
      <c r="C152" s="9">
        <v>8.6099999999999996E-2</v>
      </c>
      <c r="D152" s="9">
        <v>9.01E-2</v>
      </c>
      <c r="E152" s="9">
        <v>4.4600000000000001E-2</v>
      </c>
      <c r="F152" s="9">
        <v>8.0600000000000005E-2</v>
      </c>
      <c r="G152" s="9">
        <v>7.9000000000000001E-2</v>
      </c>
      <c r="H152" s="9">
        <v>3.1899999999999998E-2</v>
      </c>
      <c r="I152" s="9">
        <v>7.4200000000000002E-2</v>
      </c>
      <c r="J152" s="9">
        <v>7.2599999999999998E-2</v>
      </c>
      <c r="K152" s="9">
        <v>7.3200000000000001E-2</v>
      </c>
      <c r="L152" s="9">
        <v>3.1300000000000001E-2</v>
      </c>
      <c r="M152" s="9">
        <v>2.06E-2</v>
      </c>
      <c r="N152" s="9">
        <v>2.0899999999999998E-2</v>
      </c>
      <c r="O152" s="9">
        <v>1.5599999999999999E-2</v>
      </c>
    </row>
    <row r="153" spans="1:21">
      <c r="A153" t="s">
        <v>149</v>
      </c>
      <c r="B153" s="9">
        <v>0.2384</v>
      </c>
      <c r="C153" s="9">
        <v>0.20169999999999999</v>
      </c>
      <c r="D153" s="9">
        <v>0.20449999999999999</v>
      </c>
      <c r="E153" s="9">
        <v>0.1774</v>
      </c>
      <c r="F153" s="9">
        <v>0.18709999999999999</v>
      </c>
      <c r="G153" s="9">
        <v>0.1898</v>
      </c>
      <c r="H153" s="9">
        <v>0.12239999999999999</v>
      </c>
      <c r="I153" s="9">
        <v>0.17849999999999999</v>
      </c>
      <c r="J153" s="9">
        <v>0.1794</v>
      </c>
      <c r="K153" s="9">
        <v>0.18279999999999999</v>
      </c>
      <c r="L153" s="9">
        <v>0.1177</v>
      </c>
      <c r="M153" s="9">
        <v>5.3100000000000001E-2</v>
      </c>
      <c r="N153" s="9">
        <v>5.3900000000000003E-2</v>
      </c>
      <c r="O153" s="9">
        <v>4.0300000000000002E-2</v>
      </c>
    </row>
    <row r="154" spans="1:21">
      <c r="A154" t="s">
        <v>132</v>
      </c>
      <c r="B154" s="9">
        <v>0.35510000000000003</v>
      </c>
      <c r="C154" s="9">
        <v>0.28810000000000002</v>
      </c>
      <c r="D154" s="9">
        <v>0.27939999999999998</v>
      </c>
      <c r="E154" s="9">
        <v>0.3226</v>
      </c>
      <c r="F154" s="9">
        <v>0.25679999999999997</v>
      </c>
      <c r="G154" s="9">
        <v>0.23669999999999999</v>
      </c>
      <c r="H154" s="9">
        <v>0.21410000000000001</v>
      </c>
      <c r="I154" s="9">
        <v>0.22259999999999999</v>
      </c>
      <c r="J154" s="9">
        <v>0.22450000000000001</v>
      </c>
      <c r="K154" s="9">
        <v>0.22239999999999999</v>
      </c>
      <c r="L154" s="9">
        <v>0.20130000000000001</v>
      </c>
      <c r="M154" s="9">
        <v>8.4099999999999994E-2</v>
      </c>
      <c r="N154" s="9">
        <v>8.5800000000000001E-2</v>
      </c>
      <c r="O154" s="9">
        <v>4.9700000000000001E-2</v>
      </c>
    </row>
    <row r="155" spans="1:21">
      <c r="A155" t="s">
        <v>133</v>
      </c>
      <c r="B155" s="9">
        <v>0.2009</v>
      </c>
      <c r="C155" s="9">
        <v>0.30170000000000002</v>
      </c>
      <c r="D155" s="9">
        <v>0.30180000000000001</v>
      </c>
      <c r="E155" s="9">
        <v>0.40539999999999998</v>
      </c>
      <c r="F155" s="9">
        <v>0.27689999999999998</v>
      </c>
      <c r="G155" s="9">
        <v>0.2437</v>
      </c>
      <c r="H155" s="9">
        <v>0.38140000000000002</v>
      </c>
      <c r="I155" s="9">
        <v>0.2157</v>
      </c>
      <c r="J155" s="9">
        <v>0.21679999999999999</v>
      </c>
      <c r="K155" s="9">
        <v>0.21510000000000001</v>
      </c>
      <c r="L155" s="9">
        <v>0.3422</v>
      </c>
      <c r="M155" s="9">
        <v>0.39660000000000001</v>
      </c>
      <c r="N155" s="9">
        <v>0.39589999999999997</v>
      </c>
      <c r="O155" s="9">
        <v>0.1404</v>
      </c>
    </row>
    <row r="156" spans="1:21">
      <c r="A156" t="s">
        <v>134</v>
      </c>
      <c r="B156" s="9">
        <v>2.0000000000000001E-4</v>
      </c>
      <c r="C156" s="9">
        <v>1.61E-2</v>
      </c>
      <c r="D156" s="9">
        <v>1.5900000000000001E-2</v>
      </c>
      <c r="E156" s="9">
        <v>8.6999999999999994E-3</v>
      </c>
      <c r="F156" s="9">
        <v>0.1038</v>
      </c>
      <c r="G156" s="9">
        <v>0.1633</v>
      </c>
      <c r="H156" s="9">
        <v>0.2228</v>
      </c>
      <c r="I156" s="9">
        <v>0.22739999999999999</v>
      </c>
      <c r="J156" s="9">
        <v>0.2276</v>
      </c>
      <c r="K156" s="9">
        <v>0.22770000000000001</v>
      </c>
      <c r="L156" s="9">
        <v>0.28050000000000003</v>
      </c>
      <c r="M156" s="9">
        <v>0.42649999999999999</v>
      </c>
      <c r="N156" s="9">
        <v>0.42359999999999998</v>
      </c>
      <c r="O156" s="9">
        <v>0.74050000000000005</v>
      </c>
    </row>
    <row r="157" spans="1:21">
      <c r="A157" t="s">
        <v>139</v>
      </c>
      <c r="B157" s="9">
        <v>0</v>
      </c>
      <c r="C157" s="9">
        <v>0</v>
      </c>
      <c r="D157" s="9">
        <v>0</v>
      </c>
      <c r="E157" s="9">
        <v>0</v>
      </c>
      <c r="F157" s="9">
        <v>0</v>
      </c>
      <c r="G157" s="9">
        <v>0</v>
      </c>
      <c r="H157" s="9">
        <v>0</v>
      </c>
      <c r="I157" s="9">
        <v>0</v>
      </c>
      <c r="J157" s="9">
        <v>0</v>
      </c>
      <c r="K157" s="7">
        <v>0</v>
      </c>
      <c r="L157" s="7">
        <v>0</v>
      </c>
      <c r="M157" s="7">
        <v>0</v>
      </c>
      <c r="N157" s="7">
        <v>0</v>
      </c>
      <c r="O157" s="7">
        <v>0</v>
      </c>
    </row>
    <row r="158" spans="1:21">
      <c r="B158" s="9"/>
      <c r="C158" s="9"/>
      <c r="D158" s="9"/>
      <c r="E158" s="9"/>
      <c r="F158" s="9"/>
      <c r="G158" s="9"/>
      <c r="H158" s="9"/>
      <c r="I158" s="9"/>
      <c r="J158" s="9"/>
      <c r="K158" s="7"/>
      <c r="L158" s="7"/>
      <c r="M158" s="7"/>
      <c r="N158" s="7"/>
      <c r="O158" s="7"/>
    </row>
    <row r="159" spans="1:21">
      <c r="A159" s="14" t="s">
        <v>261</v>
      </c>
      <c r="B159" s="9"/>
      <c r="C159" s="9"/>
      <c r="D159" s="9"/>
      <c r="E159" s="9"/>
      <c r="F159" s="9"/>
      <c r="G159" s="9"/>
      <c r="H159" s="9"/>
      <c r="I159" s="9"/>
      <c r="J159" s="9"/>
      <c r="K159" s="7"/>
      <c r="L159" s="7"/>
      <c r="M159" s="7"/>
      <c r="N159" s="7"/>
      <c r="O159" s="7"/>
    </row>
    <row r="160" spans="1:21">
      <c r="A160" t="s">
        <v>316</v>
      </c>
      <c r="B160" s="5">
        <f>B165/25</f>
        <v>3385.4064000000003</v>
      </c>
      <c r="C160" s="5">
        <f t="shared" ref="C160:O160" si="15">C165/25</f>
        <v>3769.17</v>
      </c>
      <c r="D160" s="5">
        <f t="shared" si="15"/>
        <v>3660.6767999999997</v>
      </c>
      <c r="E160" s="5">
        <f t="shared" si="15"/>
        <v>3398.1732000000002</v>
      </c>
      <c r="F160" s="5">
        <f t="shared" si="15"/>
        <v>3686.0812000000001</v>
      </c>
      <c r="G160" s="5">
        <f t="shared" si="15"/>
        <v>3425.4836</v>
      </c>
      <c r="H160" s="5">
        <f t="shared" si="15"/>
        <v>2694.7168000000001</v>
      </c>
      <c r="I160" s="5">
        <f t="shared" si="15"/>
        <v>3422.9023999999999</v>
      </c>
      <c r="J160" s="5">
        <f t="shared" si="15"/>
        <v>3486.2215999999999</v>
      </c>
      <c r="K160" s="5">
        <f t="shared" si="15"/>
        <v>3466.6864</v>
      </c>
      <c r="L160" s="5">
        <f t="shared" si="15"/>
        <v>2736.0315999999998</v>
      </c>
      <c r="M160" s="5">
        <f t="shared" si="15"/>
        <v>2648.5244000000002</v>
      </c>
      <c r="N160" s="5">
        <f t="shared" si="15"/>
        <v>2691.7847999999999</v>
      </c>
      <c r="O160" s="5">
        <f t="shared" si="15"/>
        <v>2844.6191999999996</v>
      </c>
      <c r="P160" s="5"/>
      <c r="Q160" s="5"/>
      <c r="R160" s="5"/>
      <c r="S160" s="5"/>
      <c r="T160" s="5"/>
      <c r="U160" s="5"/>
    </row>
    <row r="161" spans="1:21">
      <c r="A161" t="s">
        <v>317</v>
      </c>
      <c r="B161" s="5">
        <f t="shared" ref="B161:O164" si="16">B166/25</f>
        <v>7548.78</v>
      </c>
      <c r="C161" s="5">
        <f t="shared" si="16"/>
        <v>7183.61</v>
      </c>
      <c r="D161" s="5">
        <f t="shared" si="16"/>
        <v>6604.97</v>
      </c>
      <c r="E161" s="5">
        <f t="shared" si="16"/>
        <v>5016.3932000000004</v>
      </c>
      <c r="F161" s="5">
        <f t="shared" si="16"/>
        <v>6862.4975999999997</v>
      </c>
      <c r="G161" s="5">
        <f t="shared" si="16"/>
        <v>5756.5947999999999</v>
      </c>
      <c r="H161" s="5">
        <f t="shared" si="16"/>
        <v>5027.0835999999999</v>
      </c>
      <c r="I161" s="5">
        <f t="shared" si="16"/>
        <v>5909.3831999999993</v>
      </c>
      <c r="J161" s="5">
        <f t="shared" si="16"/>
        <v>6247.0075999999999</v>
      </c>
      <c r="K161" s="5">
        <f t="shared" si="16"/>
        <v>6221.5248000000001</v>
      </c>
      <c r="L161" s="5">
        <f t="shared" si="16"/>
        <v>5207.2835999999998</v>
      </c>
      <c r="M161" s="5">
        <f t="shared" si="16"/>
        <v>4473.2352000000001</v>
      </c>
      <c r="N161" s="5">
        <f t="shared" si="16"/>
        <v>4531.3171999999995</v>
      </c>
      <c r="O161" s="5">
        <f t="shared" si="16"/>
        <v>4394.8692000000001</v>
      </c>
      <c r="P161" s="5"/>
      <c r="Q161" s="5"/>
      <c r="R161" s="5"/>
      <c r="S161" s="5"/>
      <c r="T161" s="5"/>
      <c r="U161" s="5"/>
    </row>
    <row r="162" spans="1:21">
      <c r="A162" t="s">
        <v>318</v>
      </c>
      <c r="B162" s="5">
        <f t="shared" si="16"/>
        <v>702.44759999999997</v>
      </c>
      <c r="C162" s="5">
        <f t="shared" si="16"/>
        <v>413.22919999999999</v>
      </c>
      <c r="D162" s="5">
        <f t="shared" si="16"/>
        <v>725.2088</v>
      </c>
      <c r="E162" s="5">
        <f t="shared" si="16"/>
        <v>1347.89</v>
      </c>
      <c r="F162" s="5">
        <f t="shared" si="16"/>
        <v>798.05200000000002</v>
      </c>
      <c r="G162" s="5">
        <f t="shared" si="16"/>
        <v>1264.1396</v>
      </c>
      <c r="H162" s="5">
        <f t="shared" si="16"/>
        <v>1724.4667999999999</v>
      </c>
      <c r="I162" s="5">
        <f t="shared" si="16"/>
        <v>1032.8768</v>
      </c>
      <c r="J162" s="5">
        <f t="shared" si="16"/>
        <v>993.0856</v>
      </c>
      <c r="K162" s="5">
        <f t="shared" si="16"/>
        <v>1067.1548</v>
      </c>
      <c r="L162" s="5">
        <f t="shared" si="16"/>
        <v>1571.3972000000001</v>
      </c>
      <c r="M162" s="5">
        <f t="shared" si="16"/>
        <v>2210.5911999999998</v>
      </c>
      <c r="N162" s="5">
        <f t="shared" si="16"/>
        <v>2126.6343999999999</v>
      </c>
      <c r="O162" s="5">
        <f t="shared" si="16"/>
        <v>1968.1564000000001</v>
      </c>
      <c r="P162" s="5"/>
      <c r="Q162" s="5"/>
      <c r="R162" s="5"/>
      <c r="S162" s="5"/>
      <c r="T162" s="5"/>
      <c r="U162" s="5"/>
    </row>
    <row r="163" spans="1:21">
      <c r="A163" t="s">
        <v>319</v>
      </c>
      <c r="B163" s="5">
        <f t="shared" si="16"/>
        <v>17.737200000000001</v>
      </c>
      <c r="C163" s="5">
        <f t="shared" si="16"/>
        <v>12.7652</v>
      </c>
      <c r="D163" s="5">
        <f t="shared" si="16"/>
        <v>20.584</v>
      </c>
      <c r="E163" s="5">
        <f t="shared" si="16"/>
        <v>14.238399999999999</v>
      </c>
      <c r="F163" s="5">
        <f t="shared" si="16"/>
        <v>33.318800000000003</v>
      </c>
      <c r="G163" s="5">
        <f t="shared" si="16"/>
        <v>31.249200000000002</v>
      </c>
      <c r="H163" s="5">
        <f t="shared" si="16"/>
        <v>28.419599999999999</v>
      </c>
      <c r="I163" s="5">
        <f t="shared" si="16"/>
        <v>31.874000000000002</v>
      </c>
      <c r="J163" s="5">
        <f t="shared" si="16"/>
        <v>19.2988</v>
      </c>
      <c r="K163" s="5">
        <f t="shared" si="16"/>
        <v>17.694400000000002</v>
      </c>
      <c r="L163" s="5">
        <f t="shared" si="16"/>
        <v>11.252800000000001</v>
      </c>
      <c r="M163" s="5">
        <f t="shared" si="16"/>
        <v>234.8296</v>
      </c>
      <c r="N163" s="5">
        <f t="shared" si="16"/>
        <v>269.36240000000004</v>
      </c>
      <c r="O163" s="5">
        <f t="shared" si="16"/>
        <v>460.75400000000002</v>
      </c>
      <c r="P163" s="5"/>
      <c r="Q163" s="5"/>
      <c r="R163" s="5"/>
      <c r="S163" s="5"/>
      <c r="T163" s="5"/>
      <c r="U163" s="5"/>
    </row>
    <row r="164" spans="1:21">
      <c r="A164" t="s">
        <v>266</v>
      </c>
      <c r="B164" s="5">
        <f t="shared" si="16"/>
        <v>11654.371200000001</v>
      </c>
      <c r="C164" s="5">
        <f t="shared" si="16"/>
        <v>11378.7744</v>
      </c>
      <c r="D164" s="5">
        <f t="shared" si="16"/>
        <v>11011.4396</v>
      </c>
      <c r="E164" s="5">
        <f t="shared" si="16"/>
        <v>9776.6947999999993</v>
      </c>
      <c r="F164" s="5">
        <f t="shared" si="16"/>
        <v>11379.949599999998</v>
      </c>
      <c r="G164" s="5">
        <f t="shared" si="16"/>
        <v>10477.467199999999</v>
      </c>
      <c r="H164" s="5">
        <f t="shared" si="16"/>
        <v>9474.6867999999995</v>
      </c>
      <c r="I164" s="5">
        <f t="shared" si="16"/>
        <v>10397.036400000001</v>
      </c>
      <c r="J164" s="5">
        <f t="shared" si="16"/>
        <v>10745.613599999999</v>
      </c>
      <c r="K164" s="5">
        <f t="shared" si="16"/>
        <v>10773.0604</v>
      </c>
      <c r="L164" s="5">
        <f t="shared" si="16"/>
        <v>9525.9652000000006</v>
      </c>
      <c r="M164" s="5">
        <f t="shared" si="16"/>
        <v>9567.1803999999993</v>
      </c>
      <c r="N164" s="5">
        <f t="shared" si="16"/>
        <v>9619.0987999999998</v>
      </c>
      <c r="O164" s="5">
        <f t="shared" si="16"/>
        <v>9668.3988000000008</v>
      </c>
      <c r="P164" s="5"/>
      <c r="Q164" s="5"/>
      <c r="R164" s="5"/>
      <c r="S164" s="5"/>
      <c r="T164" s="5"/>
      <c r="U164" s="5"/>
    </row>
    <row r="165" spans="1:21">
      <c r="A165" t="s">
        <v>262</v>
      </c>
      <c r="B165" s="5">
        <v>84635.16</v>
      </c>
      <c r="C165" s="5">
        <v>94229.25</v>
      </c>
      <c r="D165" s="5">
        <v>91516.92</v>
      </c>
      <c r="E165" s="5">
        <v>84954.33</v>
      </c>
      <c r="F165" s="5">
        <v>92152.03</v>
      </c>
      <c r="G165" s="5">
        <v>85637.09</v>
      </c>
      <c r="H165" s="5">
        <v>67367.92</v>
      </c>
      <c r="I165" s="5">
        <v>85572.56</v>
      </c>
      <c r="J165" s="5">
        <v>87155.54</v>
      </c>
      <c r="K165" s="5">
        <v>86667.16</v>
      </c>
      <c r="L165" s="5">
        <v>68400.789999999994</v>
      </c>
      <c r="M165" s="5">
        <v>66213.11</v>
      </c>
      <c r="N165" s="5">
        <v>67294.62</v>
      </c>
      <c r="O165" s="5">
        <v>71115.48</v>
      </c>
    </row>
    <row r="166" spans="1:21">
      <c r="A166" t="s">
        <v>263</v>
      </c>
      <c r="B166" s="5">
        <v>188719.5</v>
      </c>
      <c r="C166" s="5">
        <v>179590.25</v>
      </c>
      <c r="D166" s="5">
        <v>165124.25</v>
      </c>
      <c r="E166" s="5">
        <v>125409.83</v>
      </c>
      <c r="F166" s="5">
        <v>171562.44</v>
      </c>
      <c r="G166" s="5">
        <v>143914.87</v>
      </c>
      <c r="H166" s="5">
        <v>125677.09</v>
      </c>
      <c r="I166" s="5">
        <v>147734.57999999999</v>
      </c>
      <c r="J166" s="5">
        <v>156175.19</v>
      </c>
      <c r="K166" s="5">
        <v>155538.12</v>
      </c>
      <c r="L166" s="5">
        <v>130182.09</v>
      </c>
      <c r="M166" s="5">
        <v>111830.88</v>
      </c>
      <c r="N166" s="5">
        <v>113282.93</v>
      </c>
      <c r="O166" s="5">
        <v>109871.73</v>
      </c>
    </row>
    <row r="167" spans="1:21">
      <c r="A167" t="s">
        <v>264</v>
      </c>
      <c r="B167" s="5">
        <v>17561.189999999999</v>
      </c>
      <c r="C167" s="5">
        <v>10330.73</v>
      </c>
      <c r="D167" s="5">
        <v>18130.22</v>
      </c>
      <c r="E167" s="5">
        <v>33697.25</v>
      </c>
      <c r="F167" s="5">
        <v>19951.3</v>
      </c>
      <c r="G167" s="5">
        <v>31603.49</v>
      </c>
      <c r="H167" s="5">
        <v>43111.67</v>
      </c>
      <c r="I167" s="5">
        <v>25821.919999999998</v>
      </c>
      <c r="J167" s="5">
        <v>24827.14</v>
      </c>
      <c r="K167" s="5">
        <v>26678.87</v>
      </c>
      <c r="L167" s="5">
        <v>39284.93</v>
      </c>
      <c r="M167" s="5">
        <v>55264.78</v>
      </c>
      <c r="N167" s="5">
        <v>53165.86</v>
      </c>
      <c r="O167" s="5">
        <v>49203.91</v>
      </c>
    </row>
    <row r="168" spans="1:21">
      <c r="A168" t="s">
        <v>265</v>
      </c>
      <c r="B168" s="5">
        <v>443.43</v>
      </c>
      <c r="C168" s="5">
        <v>319.13</v>
      </c>
      <c r="D168" s="5">
        <v>514.6</v>
      </c>
      <c r="E168" s="5">
        <v>355.96</v>
      </c>
      <c r="F168" s="5">
        <v>832.97</v>
      </c>
      <c r="G168" s="5">
        <v>781.23</v>
      </c>
      <c r="H168" s="5">
        <v>710.49</v>
      </c>
      <c r="I168" s="5">
        <v>796.85</v>
      </c>
      <c r="J168" s="5">
        <v>482.47</v>
      </c>
      <c r="K168" s="5">
        <v>442.36</v>
      </c>
      <c r="L168" s="5">
        <v>281.32</v>
      </c>
      <c r="M168" s="5">
        <v>5870.74</v>
      </c>
      <c r="N168" s="5">
        <v>6734.06</v>
      </c>
      <c r="O168" s="5">
        <v>11518.85</v>
      </c>
    </row>
    <row r="169" spans="1:21">
      <c r="A169" t="s">
        <v>266</v>
      </c>
      <c r="B169" s="5">
        <f t="shared" ref="B169:O169" si="17">SUM(B165:B168)</f>
        <v>291359.28000000003</v>
      </c>
      <c r="C169" s="5">
        <f t="shared" si="17"/>
        <v>284469.36</v>
      </c>
      <c r="D169" s="5">
        <f t="shared" si="17"/>
        <v>275285.99</v>
      </c>
      <c r="E169" s="5">
        <f t="shared" si="17"/>
        <v>244417.37</v>
      </c>
      <c r="F169" s="5">
        <f t="shared" si="17"/>
        <v>284498.73999999993</v>
      </c>
      <c r="G169" s="5">
        <f t="shared" si="17"/>
        <v>261936.68</v>
      </c>
      <c r="H169" s="5">
        <f t="shared" si="17"/>
        <v>236867.16999999998</v>
      </c>
      <c r="I169" s="5">
        <f t="shared" si="17"/>
        <v>259925.91</v>
      </c>
      <c r="J169" s="5">
        <f t="shared" si="17"/>
        <v>268640.33999999997</v>
      </c>
      <c r="K169" s="5">
        <f t="shared" si="17"/>
        <v>269326.51</v>
      </c>
      <c r="L169" s="5">
        <f t="shared" si="17"/>
        <v>238149.13</v>
      </c>
      <c r="M169" s="5">
        <f t="shared" si="17"/>
        <v>239179.50999999998</v>
      </c>
      <c r="N169" s="5">
        <f t="shared" si="17"/>
        <v>240477.46999999997</v>
      </c>
      <c r="O169" s="5">
        <f t="shared" si="17"/>
        <v>241709.97</v>
      </c>
    </row>
    <row r="170" spans="1:21">
      <c r="B170" s="9"/>
      <c r="C170" s="9"/>
      <c r="D170" s="9"/>
      <c r="E170" s="9"/>
      <c r="F170" s="9"/>
      <c r="G170" s="9"/>
      <c r="H170" s="9"/>
      <c r="I170" s="9"/>
      <c r="J170" s="9"/>
      <c r="K170" s="7"/>
      <c r="L170" s="7"/>
      <c r="M170" s="7"/>
      <c r="N170" s="7"/>
      <c r="O170" s="7"/>
    </row>
    <row r="171" spans="1:21">
      <c r="A171" s="14" t="s">
        <v>155</v>
      </c>
    </row>
    <row r="172" spans="1:21">
      <c r="A172" t="s">
        <v>160</v>
      </c>
      <c r="B172">
        <f>Assumptions!B2</f>
        <v>25</v>
      </c>
    </row>
    <row r="173" spans="1:21">
      <c r="A173" t="s">
        <v>2</v>
      </c>
      <c r="B173" s="3">
        <f>Assumptions!B3</f>
        <v>0.03</v>
      </c>
      <c r="C173" s="7"/>
      <c r="D173" s="7"/>
      <c r="E173" s="7"/>
      <c r="F173" s="7"/>
      <c r="G173" s="7"/>
      <c r="H173" s="7"/>
      <c r="I173" s="7"/>
      <c r="J173" s="7"/>
      <c r="K173" s="7"/>
      <c r="L173" s="7"/>
      <c r="M173" s="7"/>
      <c r="N173" s="7"/>
      <c r="O173" s="7"/>
    </row>
    <row r="174" spans="1:21">
      <c r="A174" t="s">
        <v>154</v>
      </c>
      <c r="B174" s="9">
        <f>Assumptions!B4</f>
        <v>0.01</v>
      </c>
      <c r="C174" s="7"/>
      <c r="D174" s="7"/>
      <c r="E174" s="7"/>
      <c r="F174" s="7"/>
      <c r="G174" s="7"/>
      <c r="H174" s="7"/>
      <c r="I174" s="7"/>
      <c r="J174" s="7"/>
      <c r="K174" s="7"/>
      <c r="L174" s="7"/>
      <c r="M174" s="7"/>
      <c r="N174" s="7"/>
      <c r="O174" s="7"/>
    </row>
    <row r="175" spans="1:21">
      <c r="A175" t="s">
        <v>162</v>
      </c>
      <c r="B175">
        <f>Assumptions!B5</f>
        <v>1</v>
      </c>
      <c r="C175" s="9"/>
      <c r="D175" s="9"/>
      <c r="E175" s="9"/>
      <c r="F175" s="9"/>
      <c r="G175" s="9"/>
      <c r="H175" s="9"/>
      <c r="I175" s="9"/>
      <c r="J175" s="9"/>
      <c r="K175" s="9"/>
      <c r="L175" s="9"/>
      <c r="M175" s="9"/>
      <c r="N175" s="9"/>
      <c r="O175" s="9"/>
    </row>
    <row r="176" spans="1:21">
      <c r="A176" t="s">
        <v>99</v>
      </c>
      <c r="B176" s="4">
        <f>Assumptions!B6</f>
        <v>7.99</v>
      </c>
      <c r="C176" s="15"/>
      <c r="D176" s="15"/>
      <c r="E176" s="15"/>
      <c r="F176" s="15"/>
      <c r="G176" s="15"/>
      <c r="H176" s="15"/>
      <c r="I176" s="15"/>
      <c r="J176" s="15"/>
      <c r="K176" s="15"/>
      <c r="L176" s="15"/>
      <c r="M176" s="15"/>
      <c r="N176" s="15"/>
      <c r="O176" s="15"/>
    </row>
    <row r="177" spans="1:15">
      <c r="A177" t="s">
        <v>98</v>
      </c>
      <c r="B177" s="4">
        <f>Assumptions!B7</f>
        <v>7.163333333333334</v>
      </c>
      <c r="C177" s="15"/>
      <c r="D177" s="15"/>
      <c r="E177" s="15"/>
      <c r="F177" s="15"/>
      <c r="G177" s="15"/>
      <c r="H177" s="15"/>
      <c r="I177" s="15"/>
      <c r="J177" s="15"/>
      <c r="K177" s="15"/>
      <c r="L177" s="15"/>
      <c r="M177" s="15"/>
      <c r="N177" s="15"/>
      <c r="O177" s="15"/>
    </row>
    <row r="178" spans="1:15">
      <c r="A178" t="s">
        <v>102</v>
      </c>
      <c r="B178">
        <v>134000</v>
      </c>
    </row>
    <row r="179" spans="1:15">
      <c r="A179" t="s">
        <v>103</v>
      </c>
      <c r="B179">
        <v>2.93071E-4</v>
      </c>
    </row>
    <row r="180" spans="1:15">
      <c r="A180" t="s">
        <v>228</v>
      </c>
      <c r="B180">
        <f>Assumptions!B10</f>
        <v>186075.58976888133</v>
      </c>
    </row>
    <row r="181" spans="1:15">
      <c r="A181" t="s">
        <v>285</v>
      </c>
      <c r="B181" s="11">
        <f>Assumptions!B11</f>
        <v>-2655676.2110055005</v>
      </c>
    </row>
    <row r="182" spans="1:15">
      <c r="A182" t="s">
        <v>235</v>
      </c>
      <c r="B182" s="11">
        <f>Assumptions!B12</f>
        <v>-13815874.877344536</v>
      </c>
    </row>
    <row r="183" spans="1:15">
      <c r="A183" t="s">
        <v>234</v>
      </c>
      <c r="B183" s="11">
        <f>Assumptions!B13</f>
        <v>-6752037.5898857638</v>
      </c>
    </row>
    <row r="184" spans="1:15">
      <c r="A184" t="s">
        <v>229</v>
      </c>
      <c r="B184" s="11">
        <f>Assumptions!B14</f>
        <v>21141875662.789482</v>
      </c>
    </row>
    <row r="185" spans="1:15">
      <c r="B185" s="39"/>
      <c r="C185" s="9"/>
      <c r="D185" s="9"/>
      <c r="E185" s="9"/>
      <c r="F185" s="9"/>
      <c r="G185" s="9"/>
      <c r="H185" s="9"/>
      <c r="I185" s="9"/>
      <c r="J185" s="9"/>
      <c r="K185" s="9"/>
      <c r="L185" s="9"/>
      <c r="M185" s="9"/>
      <c r="N185" s="9"/>
      <c r="O185" s="9"/>
    </row>
    <row r="186" spans="1:15">
      <c r="A186" t="s">
        <v>215</v>
      </c>
      <c r="B186" s="39">
        <f>Assumptions!B16</f>
        <v>0.14929999999999999</v>
      </c>
      <c r="C186" s="7"/>
      <c r="D186" s="7"/>
      <c r="E186" s="7"/>
      <c r="F186" s="7"/>
      <c r="G186" s="7"/>
      <c r="H186" s="7"/>
      <c r="I186" s="7"/>
      <c r="J186" s="7"/>
      <c r="K186" s="7"/>
      <c r="L186" s="7"/>
      <c r="M186" s="7"/>
      <c r="N186" s="7"/>
      <c r="O186" s="7"/>
    </row>
    <row r="187" spans="1:15">
      <c r="A187" t="s">
        <v>215</v>
      </c>
      <c r="B187" s="39">
        <f>Assumptions!B17</f>
        <v>-0.90090000000000003</v>
      </c>
    </row>
    <row r="188" spans="1:15">
      <c r="A188" t="s">
        <v>215</v>
      </c>
      <c r="B188" s="39">
        <f>Assumptions!B18</f>
        <v>16.515000000000001</v>
      </c>
    </row>
    <row r="189" spans="1:15">
      <c r="B189" s="39"/>
    </row>
    <row r="190" spans="1:15">
      <c r="A190" t="s">
        <v>216</v>
      </c>
      <c r="B190" s="39">
        <f>Assumptions!B20</f>
        <v>0.1123</v>
      </c>
    </row>
    <row r="191" spans="1:15">
      <c r="A191" t="s">
        <v>216</v>
      </c>
      <c r="B191" s="39">
        <f>Assumptions!B21</f>
        <v>-0.6774</v>
      </c>
    </row>
    <row r="192" spans="1:15">
      <c r="A192" t="s">
        <v>216</v>
      </c>
      <c r="B192" s="39">
        <f>Assumptions!B22</f>
        <v>12.417999999999999</v>
      </c>
    </row>
    <row r="193" spans="1:2">
      <c r="B193" s="39"/>
    </row>
    <row r="194" spans="1:2">
      <c r="A194" t="s">
        <v>217</v>
      </c>
      <c r="B194" s="5">
        <f>Assumptions!B24</f>
        <v>1747196.0752000001</v>
      </c>
    </row>
    <row r="195" spans="1:2">
      <c r="A195" t="s">
        <v>223</v>
      </c>
      <c r="B195" s="5">
        <f>Assumptions!B25</f>
        <v>2813162.6651999997</v>
      </c>
    </row>
    <row r="197" spans="1:2">
      <c r="A197" t="s">
        <v>283</v>
      </c>
      <c r="B197" s="5">
        <f>B105/25</f>
        <v>1659836.08</v>
      </c>
    </row>
    <row r="198" spans="1:2">
      <c r="A198" t="s">
        <v>284</v>
      </c>
      <c r="B198" s="5">
        <f>(B36+B35)/25</f>
        <v>2109871.96</v>
      </c>
    </row>
    <row r="199" spans="1:2">
      <c r="B199" s="5"/>
    </row>
    <row r="200" spans="1:2">
      <c r="A200" t="s">
        <v>267</v>
      </c>
      <c r="B200">
        <v>80000</v>
      </c>
    </row>
    <row r="201" spans="1:2">
      <c r="A201" t="s">
        <v>272</v>
      </c>
      <c r="B201">
        <v>410.53</v>
      </c>
    </row>
    <row r="202" spans="1:2">
      <c r="A202" t="s">
        <v>273</v>
      </c>
      <c r="B202">
        <v>105.26</v>
      </c>
    </row>
    <row r="204" spans="1:2">
      <c r="A204" t="s">
        <v>271</v>
      </c>
      <c r="B204" s="11">
        <v>15.780750000000001</v>
      </c>
    </row>
    <row r="205" spans="1:2">
      <c r="A205" t="s">
        <v>270</v>
      </c>
      <c r="B205" s="11">
        <v>16.452750000000002</v>
      </c>
    </row>
    <row r="206" spans="1:2">
      <c r="A206" t="s">
        <v>268</v>
      </c>
      <c r="B206" s="11">
        <v>16.758750000000003</v>
      </c>
    </row>
    <row r="207" spans="1:2">
      <c r="A207" t="s">
        <v>269</v>
      </c>
      <c r="B207" s="11">
        <v>17.142244565217393</v>
      </c>
    </row>
    <row r="209" spans="1:21">
      <c r="A209" t="s">
        <v>335</v>
      </c>
      <c r="B209" s="11">
        <f>Assumptions!B36</f>
        <v>560000</v>
      </c>
    </row>
    <row r="210" spans="1:21">
      <c r="A210" t="s">
        <v>326</v>
      </c>
      <c r="B210" s="54">
        <f>Assumptions!B37</f>
        <v>17500</v>
      </c>
    </row>
    <row r="211" spans="1:21">
      <c r="A211" t="s">
        <v>329</v>
      </c>
      <c r="B211" s="11">
        <f>Assumptions!B38</f>
        <v>0.54</v>
      </c>
    </row>
    <row r="213" spans="1:21">
      <c r="A213" t="s">
        <v>221</v>
      </c>
      <c r="B213" s="5">
        <f>1-B197/B194</f>
        <v>5.0000109569843243E-2</v>
      </c>
    </row>
    <row r="214" spans="1:21">
      <c r="A214" t="s">
        <v>220</v>
      </c>
      <c r="B214" s="5">
        <f>1-B198/B195</f>
        <v>0.25000001382785297</v>
      </c>
    </row>
    <row r="216" spans="1:21">
      <c r="A216" t="s">
        <v>218</v>
      </c>
      <c r="B216" s="4">
        <f>B188*(B213^2)+B213*B187+B186</f>
        <v>0.14554258224332262</v>
      </c>
    </row>
    <row r="217" spans="1:21">
      <c r="A217" t="s">
        <v>219</v>
      </c>
      <c r="B217" s="4">
        <f>B192*(B214^2)+B214*B191+B190</f>
        <v>0.71907507649015379</v>
      </c>
    </row>
    <row r="218" spans="1:21">
      <c r="B218" s="4"/>
      <c r="C218" s="5"/>
      <c r="D218" s="5"/>
      <c r="E218" s="5"/>
      <c r="F218" s="5"/>
      <c r="G218" s="5"/>
      <c r="H218" s="5"/>
      <c r="I218" s="5"/>
      <c r="J218" s="5"/>
      <c r="K218" s="5"/>
      <c r="L218" s="5"/>
      <c r="M218" s="5"/>
      <c r="N218" s="5"/>
      <c r="O218" s="5"/>
    </row>
    <row r="219" spans="1:21">
      <c r="A219" t="s">
        <v>218</v>
      </c>
      <c r="B219" s="11">
        <f>-B216*(B194-B197)</f>
        <v>-12714.59928617227</v>
      </c>
      <c r="C219" s="5"/>
      <c r="D219" s="5"/>
      <c r="E219" s="5"/>
      <c r="F219" s="5"/>
      <c r="G219" s="5"/>
      <c r="H219" s="5"/>
      <c r="I219" s="5"/>
      <c r="J219" s="5"/>
      <c r="K219" s="5"/>
      <c r="L219" s="5"/>
      <c r="M219" s="5"/>
      <c r="N219" s="5"/>
      <c r="O219" s="5"/>
    </row>
    <row r="220" spans="1:21">
      <c r="A220" t="s">
        <v>219</v>
      </c>
      <c r="B220" s="11">
        <f>-B217*(B195-B198)</f>
        <v>-505718.81763650401</v>
      </c>
      <c r="C220" s="11">
        <f>B220+B219</f>
        <v>-518433.41692267626</v>
      </c>
    </row>
    <row r="222" spans="1:21">
      <c r="A222" t="s">
        <v>222</v>
      </c>
    </row>
    <row r="223" spans="1:21">
      <c r="A223" t="s">
        <v>338</v>
      </c>
      <c r="B223" s="11">
        <f>-B59*1</f>
        <v>0</v>
      </c>
      <c r="C223" s="11">
        <f t="shared" ref="C223:O223" si="18">-C59*1</f>
        <v>-550000</v>
      </c>
      <c r="D223" s="11">
        <f t="shared" si="18"/>
        <v>-670000</v>
      </c>
      <c r="E223" s="11">
        <f t="shared" si="18"/>
        <v>-950000</v>
      </c>
      <c r="F223" s="11">
        <f t="shared" si="18"/>
        <v>-1050000</v>
      </c>
      <c r="G223" s="11">
        <f t="shared" si="18"/>
        <v>-1550000</v>
      </c>
      <c r="H223" s="11">
        <f t="shared" si="18"/>
        <v>-2500000</v>
      </c>
      <c r="I223" s="11">
        <f t="shared" si="18"/>
        <v>-2550000</v>
      </c>
      <c r="J223" s="11">
        <f t="shared" si="18"/>
        <v>-2635000</v>
      </c>
      <c r="K223" s="11">
        <f t="shared" si="18"/>
        <v>-2670000</v>
      </c>
      <c r="L223" s="11">
        <f t="shared" si="18"/>
        <v>-3500000</v>
      </c>
      <c r="M223" s="11">
        <f t="shared" si="18"/>
        <v>-4200000</v>
      </c>
      <c r="N223" s="11">
        <f t="shared" si="18"/>
        <v>-4320000</v>
      </c>
      <c r="O223" s="11">
        <f t="shared" si="18"/>
        <v>-5300000</v>
      </c>
      <c r="P223" s="11"/>
      <c r="Q223" s="11"/>
      <c r="R223" s="11"/>
      <c r="S223" s="11"/>
      <c r="T223" s="11"/>
      <c r="U223" s="11"/>
    </row>
    <row r="225" spans="1:15">
      <c r="A225" t="s">
        <v>158</v>
      </c>
      <c r="B225" s="11">
        <f t="shared" ref="B225:O225" si="19">-B48+B59</f>
        <v>0</v>
      </c>
      <c r="C225" s="11">
        <f t="shared" si="19"/>
        <v>0</v>
      </c>
      <c r="D225" s="11">
        <f t="shared" si="19"/>
        <v>0</v>
      </c>
      <c r="E225" s="11">
        <f t="shared" si="19"/>
        <v>0</v>
      </c>
      <c r="F225" s="11">
        <f t="shared" si="19"/>
        <v>0</v>
      </c>
      <c r="G225" s="11">
        <f t="shared" si="19"/>
        <v>0</v>
      </c>
      <c r="H225" s="11">
        <f t="shared" si="19"/>
        <v>0</v>
      </c>
      <c r="I225" s="11">
        <f t="shared" si="19"/>
        <v>0</v>
      </c>
      <c r="J225" s="11">
        <f t="shared" si="19"/>
        <v>0</v>
      </c>
      <c r="K225" s="11">
        <f t="shared" si="19"/>
        <v>0</v>
      </c>
      <c r="L225" s="11">
        <f t="shared" si="19"/>
        <v>0</v>
      </c>
      <c r="M225" s="11">
        <f t="shared" si="19"/>
        <v>0</v>
      </c>
      <c r="N225" s="11">
        <f t="shared" si="19"/>
        <v>0</v>
      </c>
      <c r="O225" s="11">
        <f t="shared" si="19"/>
        <v>0</v>
      </c>
    </row>
    <row r="226" spans="1:15">
      <c r="A226" t="s">
        <v>157</v>
      </c>
      <c r="B226">
        <v>0</v>
      </c>
      <c r="C226" s="16">
        <f t="shared" ref="C226:O226" si="20">IF(C225=0,0,-(C225+10000)/500)</f>
        <v>0</v>
      </c>
      <c r="D226" s="16">
        <f t="shared" si="20"/>
        <v>0</v>
      </c>
      <c r="E226" s="16">
        <f t="shared" si="20"/>
        <v>0</v>
      </c>
      <c r="F226" s="16">
        <f t="shared" si="20"/>
        <v>0</v>
      </c>
      <c r="G226" s="16">
        <f t="shared" si="20"/>
        <v>0</v>
      </c>
      <c r="H226" s="16">
        <f t="shared" si="20"/>
        <v>0</v>
      </c>
      <c r="I226" s="16">
        <f t="shared" si="20"/>
        <v>0</v>
      </c>
      <c r="J226" s="16">
        <f t="shared" si="20"/>
        <v>0</v>
      </c>
      <c r="K226" s="16">
        <f t="shared" si="20"/>
        <v>0</v>
      </c>
      <c r="L226" s="16">
        <f t="shared" si="20"/>
        <v>0</v>
      </c>
      <c r="M226" s="16">
        <f t="shared" si="20"/>
        <v>0</v>
      </c>
      <c r="N226" s="16">
        <f t="shared" si="20"/>
        <v>0</v>
      </c>
      <c r="O226" s="16">
        <f t="shared" si="20"/>
        <v>0</v>
      </c>
    </row>
    <row r="227" spans="1:15">
      <c r="A227" t="s">
        <v>156</v>
      </c>
      <c r="B227">
        <v>0</v>
      </c>
      <c r="C227" s="15">
        <f>ROUNDUP(C226/6,0)</f>
        <v>0</v>
      </c>
      <c r="D227" s="15">
        <f>ROUNDUP(D226/6,0)</f>
        <v>0</v>
      </c>
      <c r="E227" s="15">
        <f>ROUNDUP(E226/6,0)</f>
        <v>0</v>
      </c>
      <c r="F227" s="15">
        <f t="shared" ref="F227:O227" si="21">ROUNDUP(F226/6,0)</f>
        <v>0</v>
      </c>
      <c r="G227" s="15">
        <f t="shared" si="21"/>
        <v>0</v>
      </c>
      <c r="H227" s="15">
        <f t="shared" si="21"/>
        <v>0</v>
      </c>
      <c r="I227" s="15">
        <f t="shared" si="21"/>
        <v>0</v>
      </c>
      <c r="J227" s="15">
        <f t="shared" si="21"/>
        <v>0</v>
      </c>
      <c r="K227" s="15">
        <f t="shared" si="21"/>
        <v>0</v>
      </c>
      <c r="L227" s="15">
        <f t="shared" si="21"/>
        <v>0</v>
      </c>
      <c r="M227" s="15">
        <f t="shared" si="21"/>
        <v>0</v>
      </c>
      <c r="N227" s="15">
        <f t="shared" si="21"/>
        <v>0</v>
      </c>
      <c r="O227" s="15">
        <f t="shared" si="21"/>
        <v>0</v>
      </c>
    </row>
    <row r="228" spans="1:15">
      <c r="C228" s="15"/>
      <c r="D228" s="15"/>
      <c r="E228" s="15"/>
      <c r="F228" s="15"/>
      <c r="G228" s="15"/>
      <c r="H228" s="15"/>
      <c r="I228" s="15"/>
      <c r="J228" s="15"/>
      <c r="K228" s="15"/>
      <c r="L228" s="15"/>
      <c r="M228" s="15"/>
      <c r="N228" s="15"/>
      <c r="O228" s="15"/>
    </row>
    <row r="229" spans="1:15">
      <c r="A229" t="s">
        <v>278</v>
      </c>
      <c r="C229" s="15"/>
      <c r="D229" s="15"/>
      <c r="E229" s="15"/>
      <c r="F229" s="15"/>
      <c r="G229" s="15"/>
      <c r="H229" s="15"/>
      <c r="I229" s="15"/>
      <c r="J229" s="15"/>
      <c r="K229" s="15"/>
      <c r="L229" s="15"/>
      <c r="M229" s="15"/>
      <c r="N229" s="15"/>
      <c r="O229" s="15"/>
    </row>
    <row r="230" spans="1:15">
      <c r="A230" t="s">
        <v>274</v>
      </c>
      <c r="B230" s="11">
        <f t="shared" ref="B230:O230" si="22">-(202*$B$201+$B$202)*B165/($B$200)/25</f>
        <v>-3513.7268441855999</v>
      </c>
      <c r="C230" s="11">
        <f t="shared" si="22"/>
        <v>-3912.0366196800001</v>
      </c>
      <c r="D230" s="11">
        <f t="shared" si="22"/>
        <v>-3799.4310934271994</v>
      </c>
      <c r="E230" s="11">
        <f t="shared" si="22"/>
        <v>-3526.9775569727999</v>
      </c>
      <c r="F230" s="11">
        <f t="shared" si="22"/>
        <v>-3825.7984218047995</v>
      </c>
      <c r="G230" s="11">
        <f t="shared" si="22"/>
        <v>-3555.3231303743996</v>
      </c>
      <c r="H230" s="11">
        <f t="shared" si="22"/>
        <v>-2796.8573455871997</v>
      </c>
      <c r="I230" s="11">
        <f t="shared" si="22"/>
        <v>-3552.6440925695997</v>
      </c>
      <c r="J230" s="11">
        <f t="shared" si="22"/>
        <v>-3618.3633435263996</v>
      </c>
      <c r="K230" s="11">
        <f t="shared" si="22"/>
        <v>-3598.0876813055993</v>
      </c>
      <c r="L230" s="11">
        <f t="shared" si="22"/>
        <v>-2839.7381417663996</v>
      </c>
      <c r="M230" s="11">
        <f t="shared" si="22"/>
        <v>-2748.9140688575994</v>
      </c>
      <c r="N230" s="11">
        <f t="shared" si="22"/>
        <v>-2793.8142110591994</v>
      </c>
      <c r="O230" s="11">
        <f t="shared" si="22"/>
        <v>-2952.4416461567998</v>
      </c>
    </row>
    <row r="231" spans="1:15">
      <c r="A231" t="s">
        <v>275</v>
      </c>
      <c r="B231" s="11">
        <f t="shared" ref="B231:O231" si="23">-(314*$B$201+$B$202)*B166/($B$200)/25</f>
        <v>-12173.50987188</v>
      </c>
      <c r="C231" s="11">
        <f t="shared" si="23"/>
        <v>-11584.619932059999</v>
      </c>
      <c r="D231" s="11">
        <f t="shared" si="23"/>
        <v>-10651.478450619999</v>
      </c>
      <c r="E231" s="11">
        <f t="shared" si="23"/>
        <v>-8089.6664284072003</v>
      </c>
      <c r="F231" s="11">
        <f t="shared" si="23"/>
        <v>-11066.779304649599</v>
      </c>
      <c r="G231" s="11">
        <f t="shared" si="23"/>
        <v>-9283.3495778407996</v>
      </c>
      <c r="H231" s="11">
        <f t="shared" si="23"/>
        <v>-8106.9062592055998</v>
      </c>
      <c r="I231" s="11">
        <f t="shared" si="23"/>
        <v>-9529.7431799471979</v>
      </c>
      <c r="J231" s="11">
        <f t="shared" si="23"/>
        <v>-10074.211818109601</v>
      </c>
      <c r="K231" s="11">
        <f t="shared" si="23"/>
        <v>-10033.1170826208</v>
      </c>
      <c r="L231" s="11">
        <f t="shared" si="23"/>
        <v>-8397.5050684056005</v>
      </c>
      <c r="M231" s="11">
        <f t="shared" si="23"/>
        <v>-7213.7448523392004</v>
      </c>
      <c r="N231" s="11">
        <f t="shared" si="23"/>
        <v>-7307.4105573111992</v>
      </c>
      <c r="O231" s="11">
        <f t="shared" si="23"/>
        <v>-7087.3682359031991</v>
      </c>
    </row>
    <row r="232" spans="1:15">
      <c r="A232" t="s">
        <v>276</v>
      </c>
      <c r="B232" s="11">
        <f t="shared" ref="B232:O232" si="24">-(365*$B$201+$B$202)*B167/($B$200)/25</f>
        <v>-1316.6388932824498</v>
      </c>
      <c r="C232" s="11">
        <f t="shared" si="24"/>
        <v>-774.53981842914993</v>
      </c>
      <c r="D232" s="11">
        <f t="shared" si="24"/>
        <v>-1359.3015505080998</v>
      </c>
      <c r="E232" s="11">
        <f t="shared" si="24"/>
        <v>-2526.4295840237501</v>
      </c>
      <c r="F232" s="11">
        <f t="shared" si="24"/>
        <v>-1495.8358489115001</v>
      </c>
      <c r="G232" s="11">
        <f t="shared" si="24"/>
        <v>-2369.4512784989502</v>
      </c>
      <c r="H232" s="11">
        <f t="shared" si="24"/>
        <v>-3232.2696512228499</v>
      </c>
      <c r="I232" s="11">
        <f t="shared" si="24"/>
        <v>-1935.9817968615998</v>
      </c>
      <c r="J232" s="11">
        <f t="shared" si="24"/>
        <v>-1861.3988079947001</v>
      </c>
      <c r="K232" s="11">
        <f t="shared" si="24"/>
        <v>-2000.2310703788496</v>
      </c>
      <c r="L232" s="11">
        <f t="shared" si="24"/>
        <v>-2945.3622879701497</v>
      </c>
      <c r="M232" s="11">
        <f t="shared" si="24"/>
        <v>-4143.4412347169</v>
      </c>
      <c r="N232" s="11">
        <f t="shared" si="24"/>
        <v>-3986.0760615202998</v>
      </c>
      <c r="O232" s="11">
        <f t="shared" si="24"/>
        <v>-3689.03141572805</v>
      </c>
    </row>
    <row r="233" spans="1:15">
      <c r="A233" t="s">
        <v>277</v>
      </c>
      <c r="B233" s="11">
        <f t="shared" ref="B233:O233" si="25">-(397*$B$201+$B$202)*B168/($B$200)/25</f>
        <v>-36.158539324050004</v>
      </c>
      <c r="C233" s="11">
        <f t="shared" si="25"/>
        <v>-26.02276493355</v>
      </c>
      <c r="D233" s="11">
        <f t="shared" si="25"/>
        <v>-41.961942891</v>
      </c>
      <c r="E233" s="11">
        <f t="shared" si="25"/>
        <v>-29.0259875466</v>
      </c>
      <c r="F233" s="11">
        <f t="shared" si="25"/>
        <v>-67.922735269949996</v>
      </c>
      <c r="G233" s="11">
        <f t="shared" si="25"/>
        <v>-63.703708987050007</v>
      </c>
      <c r="H233" s="11">
        <f t="shared" si="25"/>
        <v>-57.935368839150009</v>
      </c>
      <c r="I233" s="11">
        <f t="shared" si="25"/>
        <v>-64.977408069749998</v>
      </c>
      <c r="J233" s="11">
        <f t="shared" si="25"/>
        <v>-39.341971602450009</v>
      </c>
      <c r="K233" s="11">
        <f t="shared" si="25"/>
        <v>-36.071288490600004</v>
      </c>
      <c r="L233" s="11">
        <f t="shared" si="25"/>
        <v>-22.939630342199997</v>
      </c>
      <c r="M233" s="11">
        <f t="shared" si="25"/>
        <v>-478.71678314790006</v>
      </c>
      <c r="N233" s="11">
        <f t="shared" si="25"/>
        <v>-549.11434346010003</v>
      </c>
      <c r="O233" s="11">
        <f t="shared" si="25"/>
        <v>-939.27968493975004</v>
      </c>
    </row>
    <row r="234" spans="1:15">
      <c r="A234" t="s">
        <v>286</v>
      </c>
      <c r="B234" s="11">
        <f t="shared" ref="B234:O234" si="26">IF(B65&lt;0.3,-(100*$B$201+$B$202),0)</f>
        <v>0</v>
      </c>
      <c r="C234" s="11">
        <f t="shared" si="26"/>
        <v>0</v>
      </c>
      <c r="D234" s="11">
        <f t="shared" si="26"/>
        <v>0</v>
      </c>
      <c r="E234" s="11">
        <f t="shared" si="26"/>
        <v>0</v>
      </c>
      <c r="F234" s="11">
        <f t="shared" si="26"/>
        <v>0</v>
      </c>
      <c r="G234" s="11">
        <f t="shared" si="26"/>
        <v>0</v>
      </c>
      <c r="H234" s="11">
        <f t="shared" si="26"/>
        <v>0</v>
      </c>
      <c r="I234" s="11">
        <f t="shared" si="26"/>
        <v>0</v>
      </c>
      <c r="J234" s="11">
        <f t="shared" si="26"/>
        <v>0</v>
      </c>
      <c r="K234" s="11">
        <f t="shared" si="26"/>
        <v>0</v>
      </c>
      <c r="L234" s="11">
        <f t="shared" si="26"/>
        <v>0</v>
      </c>
      <c r="M234" s="11">
        <f t="shared" si="26"/>
        <v>-41158.26</v>
      </c>
      <c r="N234" s="11">
        <f t="shared" si="26"/>
        <v>-41158.26</v>
      </c>
      <c r="O234" s="11">
        <f t="shared" si="26"/>
        <v>-41158.26</v>
      </c>
    </row>
    <row r="235" spans="1:15">
      <c r="C235" s="15"/>
      <c r="D235" s="15"/>
      <c r="E235" s="15"/>
      <c r="F235" s="15"/>
      <c r="G235" s="15"/>
      <c r="H235" s="15"/>
      <c r="I235" s="15"/>
      <c r="J235" s="15"/>
      <c r="K235" s="15"/>
      <c r="L235" s="15"/>
      <c r="M235" s="15"/>
      <c r="N235" s="15"/>
      <c r="O235" s="15"/>
    </row>
    <row r="236" spans="1:15">
      <c r="A236" t="s">
        <v>279</v>
      </c>
      <c r="C236" s="15"/>
      <c r="D236" s="15"/>
      <c r="E236" s="15"/>
      <c r="F236" s="15"/>
      <c r="G236" s="15"/>
      <c r="H236" s="15"/>
      <c r="I236" s="15"/>
      <c r="J236" s="15"/>
      <c r="K236" s="15"/>
      <c r="L236" s="15"/>
      <c r="M236" s="15"/>
      <c r="N236" s="15"/>
      <c r="O236" s="15"/>
    </row>
    <row r="237" spans="1:15">
      <c r="A237" t="s">
        <v>274</v>
      </c>
      <c r="B237" s="11">
        <f t="shared" ref="B237:O237" si="27">-$B204*B165/25</f>
        <v>-53424.252046800008</v>
      </c>
      <c r="C237" s="11">
        <f t="shared" si="27"/>
        <v>-59480.329477500003</v>
      </c>
      <c r="D237" s="11">
        <f t="shared" si="27"/>
        <v>-57768.225411600004</v>
      </c>
      <c r="E237" s="11">
        <f t="shared" si="27"/>
        <v>-53625.721725900003</v>
      </c>
      <c r="F237" s="11">
        <f t="shared" si="27"/>
        <v>-58169.125896900005</v>
      </c>
      <c r="G237" s="11">
        <f t="shared" si="27"/>
        <v>-54056.700320699994</v>
      </c>
      <c r="H237" s="11">
        <f t="shared" si="27"/>
        <v>-42524.652141600003</v>
      </c>
      <c r="I237" s="11">
        <f t="shared" si="27"/>
        <v>-54015.967048799997</v>
      </c>
      <c r="J237" s="11">
        <f t="shared" si="27"/>
        <v>-55015.1915142</v>
      </c>
      <c r="K237" s="11">
        <f t="shared" si="27"/>
        <v>-54706.911406800005</v>
      </c>
      <c r="L237" s="11">
        <f t="shared" si="27"/>
        <v>-43176.630671699997</v>
      </c>
      <c r="M237" s="11">
        <f t="shared" si="27"/>
        <v>-41795.701425300002</v>
      </c>
      <c r="N237" s="11">
        <f t="shared" si="27"/>
        <v>-42478.382982599993</v>
      </c>
      <c r="O237" s="11">
        <f t="shared" si="27"/>
        <v>-44890.224440400001</v>
      </c>
    </row>
    <row r="238" spans="1:15">
      <c r="A238" t="s">
        <v>275</v>
      </c>
      <c r="B238" s="11">
        <f t="shared" ref="B238:O238" si="28">-$B205*B166/25</f>
        <v>-124198.19014500002</v>
      </c>
      <c r="C238" s="11">
        <f t="shared" si="28"/>
        <v>-118190.13942750002</v>
      </c>
      <c r="D238" s="11">
        <f t="shared" si="28"/>
        <v>-108669.92016750001</v>
      </c>
      <c r="E238" s="11">
        <f t="shared" si="28"/>
        <v>-82533.463221300015</v>
      </c>
      <c r="F238" s="11">
        <f t="shared" si="28"/>
        <v>-112906.95738840001</v>
      </c>
      <c r="G238" s="11">
        <f t="shared" si="28"/>
        <v>-94711.815095700003</v>
      </c>
      <c r="H238" s="11">
        <f t="shared" si="28"/>
        <v>-82709.349699900005</v>
      </c>
      <c r="I238" s="11">
        <f t="shared" si="28"/>
        <v>-97225.604443799995</v>
      </c>
      <c r="J238" s="11">
        <f t="shared" si="28"/>
        <v>-102780.4542909</v>
      </c>
      <c r="K238" s="11">
        <f t="shared" si="28"/>
        <v>-102361.1921532</v>
      </c>
      <c r="L238" s="11">
        <f t="shared" si="28"/>
        <v>-85674.135249899991</v>
      </c>
      <c r="M238" s="11">
        <f t="shared" si="28"/>
        <v>-73597.020436800012</v>
      </c>
      <c r="N238" s="11">
        <f t="shared" si="28"/>
        <v>-74552.62906230001</v>
      </c>
      <c r="O238" s="11">
        <f t="shared" si="28"/>
        <v>-72307.684230300001</v>
      </c>
    </row>
    <row r="239" spans="1:15">
      <c r="A239" t="s">
        <v>276</v>
      </c>
      <c r="B239" s="11">
        <f t="shared" ref="B239:O239" si="29">-$B206*B167/25</f>
        <v>-11772.143716500001</v>
      </c>
      <c r="C239" s="11">
        <f t="shared" si="29"/>
        <v>-6925.204855500001</v>
      </c>
      <c r="D239" s="11">
        <f t="shared" si="29"/>
        <v>-12153.592977000002</v>
      </c>
      <c r="E239" s="11">
        <f t="shared" si="29"/>
        <v>-22588.951537500005</v>
      </c>
      <c r="F239" s="11">
        <f t="shared" si="29"/>
        <v>-13374.353955</v>
      </c>
      <c r="G239" s="11">
        <f t="shared" si="29"/>
        <v>-21185.399521500003</v>
      </c>
      <c r="H239" s="11">
        <f t="shared" si="29"/>
        <v>-28899.907984500001</v>
      </c>
      <c r="I239" s="11">
        <f t="shared" si="29"/>
        <v>-17309.724072000001</v>
      </c>
      <c r="J239" s="11">
        <f t="shared" si="29"/>
        <v>-16642.873299000003</v>
      </c>
      <c r="K239" s="11">
        <f t="shared" si="29"/>
        <v>-17884.180504500004</v>
      </c>
      <c r="L239" s="11">
        <f t="shared" si="29"/>
        <v>-26334.652825500005</v>
      </c>
      <c r="M239" s="11">
        <f t="shared" si="29"/>
        <v>-37046.745273000008</v>
      </c>
      <c r="N239" s="11">
        <f t="shared" si="29"/>
        <v>-35639.734251000009</v>
      </c>
      <c r="O239" s="11">
        <f t="shared" si="29"/>
        <v>-32983.841068500005</v>
      </c>
    </row>
    <row r="240" spans="1:15">
      <c r="A240" t="s">
        <v>277</v>
      </c>
      <c r="B240" s="11">
        <f t="shared" ref="B240:O240" si="30">-$B207*B168/25</f>
        <v>-304.05542030217396</v>
      </c>
      <c r="C240" s="11">
        <f t="shared" si="30"/>
        <v>-218.82418032391305</v>
      </c>
      <c r="D240" s="11">
        <f t="shared" si="30"/>
        <v>-352.85596213043488</v>
      </c>
      <c r="E240" s="11">
        <f t="shared" si="30"/>
        <v>-244.07813501739133</v>
      </c>
      <c r="F240" s="11">
        <f t="shared" si="30"/>
        <v>-571.15901821956527</v>
      </c>
      <c r="G240" s="11">
        <f t="shared" si="30"/>
        <v>-535.68142886739133</v>
      </c>
      <c r="H240" s="11">
        <f t="shared" si="30"/>
        <v>-487.1757336456522</v>
      </c>
      <c r="I240" s="11">
        <f t="shared" si="30"/>
        <v>-546.39190327173924</v>
      </c>
      <c r="J240" s="11">
        <f t="shared" si="30"/>
        <v>-330.82474941521747</v>
      </c>
      <c r="K240" s="11">
        <f t="shared" si="30"/>
        <v>-303.32173223478264</v>
      </c>
      <c r="L240" s="11">
        <f t="shared" si="30"/>
        <v>-192.89824964347827</v>
      </c>
      <c r="M240" s="11">
        <f t="shared" si="30"/>
        <v>-4025.506434352174</v>
      </c>
      <c r="N240" s="11">
        <f t="shared" si="30"/>
        <v>-4617.4761374739137</v>
      </c>
      <c r="O240" s="11">
        <f t="shared" si="30"/>
        <v>-7898.3577524021748</v>
      </c>
    </row>
    <row r="241" spans="1:21">
      <c r="D241" s="15"/>
      <c r="E241" s="15"/>
      <c r="F241" s="15"/>
      <c r="G241" s="15"/>
      <c r="H241" s="15"/>
      <c r="I241" s="15"/>
      <c r="J241" s="15"/>
      <c r="K241" s="15"/>
      <c r="L241" s="15"/>
      <c r="M241" s="15"/>
      <c r="N241" s="15"/>
      <c r="O241" s="15"/>
    </row>
    <row r="242" spans="1:21">
      <c r="A242" t="s">
        <v>231</v>
      </c>
      <c r="B242" s="2">
        <f t="shared" ref="B242:N242" si="31">B50*24*365</f>
        <v>123603.59999999999</v>
      </c>
      <c r="C242" s="2">
        <f t="shared" si="31"/>
        <v>117909.6</v>
      </c>
      <c r="D242" s="2">
        <f t="shared" si="31"/>
        <v>117734.39999999999</v>
      </c>
      <c r="E242" s="2">
        <f t="shared" si="31"/>
        <v>105032.4</v>
      </c>
      <c r="F242" s="2">
        <f t="shared" si="31"/>
        <v>111690</v>
      </c>
      <c r="G242" s="2">
        <f t="shared" si="31"/>
        <v>106346.40000000001</v>
      </c>
      <c r="H242" s="2">
        <f t="shared" si="31"/>
        <v>89089.2</v>
      </c>
      <c r="I242" s="2">
        <f t="shared" si="31"/>
        <v>100039.2</v>
      </c>
      <c r="J242" s="2">
        <f t="shared" si="31"/>
        <v>100039.2</v>
      </c>
      <c r="K242" s="2">
        <f t="shared" si="31"/>
        <v>100039.2</v>
      </c>
      <c r="L242" s="2">
        <f t="shared" si="31"/>
        <v>84008.4</v>
      </c>
      <c r="M242" s="2">
        <f t="shared" si="31"/>
        <v>69028.800000000003</v>
      </c>
      <c r="N242" s="2">
        <f t="shared" si="31"/>
        <v>69291.600000000006</v>
      </c>
      <c r="O242" s="2">
        <f>O50*24*365</f>
        <v>37843.200000000004</v>
      </c>
    </row>
    <row r="243" spans="1:21">
      <c r="A243" t="s">
        <v>224</v>
      </c>
      <c r="B243" s="2">
        <f t="shared" ref="B243:O243" si="32">(B41+B40)/$B$178/$B$179/25-B51</f>
        <v>40240.141492889728</v>
      </c>
      <c r="C243" s="2">
        <f t="shared" si="32"/>
        <v>40669.876898558075</v>
      </c>
      <c r="D243" s="2">
        <f t="shared" si="32"/>
        <v>40669.320770266204</v>
      </c>
      <c r="E243" s="2">
        <f t="shared" si="32"/>
        <v>41753.10073352405</v>
      </c>
      <c r="F243" s="2">
        <f t="shared" si="32"/>
        <v>41274.337424322373</v>
      </c>
      <c r="G243" s="2">
        <f t="shared" si="32"/>
        <v>41796.914679683599</v>
      </c>
      <c r="H243" s="2">
        <f t="shared" si="32"/>
        <v>43391.127726830193</v>
      </c>
      <c r="I243" s="2">
        <f t="shared" si="32"/>
        <v>42461.117236274615</v>
      </c>
      <c r="J243" s="2">
        <f t="shared" si="32"/>
        <v>42461.43502386997</v>
      </c>
      <c r="K243" s="2">
        <f t="shared" si="32"/>
        <v>42461.275111522315</v>
      </c>
      <c r="L243" s="2">
        <f t="shared" si="32"/>
        <v>43944.039437848005</v>
      </c>
      <c r="M243" s="2">
        <f t="shared" si="32"/>
        <v>45546.393755025587</v>
      </c>
      <c r="N243" s="2">
        <f t="shared" si="32"/>
        <v>45530.668361805452</v>
      </c>
      <c r="O243" s="2">
        <f t="shared" si="32"/>
        <v>48965.734297893381</v>
      </c>
    </row>
    <row r="244" spans="1:21">
      <c r="A244" t="s">
        <v>232</v>
      </c>
      <c r="B244" s="2">
        <f t="shared" ref="B244:O244" si="33">B242+B243</f>
        <v>163843.74149288971</v>
      </c>
      <c r="C244" s="2">
        <f t="shared" si="33"/>
        <v>158579.47689855809</v>
      </c>
      <c r="D244" s="2">
        <f t="shared" si="33"/>
        <v>158403.7207702662</v>
      </c>
      <c r="E244" s="2">
        <f t="shared" si="33"/>
        <v>146785.50073352404</v>
      </c>
      <c r="F244" s="2">
        <f t="shared" si="33"/>
        <v>152964.33742432238</v>
      </c>
      <c r="G244" s="2">
        <f t="shared" si="33"/>
        <v>148143.31467968359</v>
      </c>
      <c r="H244" s="2">
        <f t="shared" si="33"/>
        <v>132480.3277268302</v>
      </c>
      <c r="I244" s="2">
        <f t="shared" si="33"/>
        <v>142500.3172362746</v>
      </c>
      <c r="J244" s="2">
        <f t="shared" si="33"/>
        <v>142500.63502386998</v>
      </c>
      <c r="K244" s="2">
        <f t="shared" si="33"/>
        <v>142500.4751115223</v>
      </c>
      <c r="L244" s="2">
        <f t="shared" si="33"/>
        <v>127952.43943784799</v>
      </c>
      <c r="M244" s="2">
        <f t="shared" si="33"/>
        <v>114575.1937550256</v>
      </c>
      <c r="N244" s="2">
        <f t="shared" si="33"/>
        <v>114822.26836180546</v>
      </c>
      <c r="O244" s="2">
        <f t="shared" si="33"/>
        <v>86808.934297893386</v>
      </c>
    </row>
    <row r="245" spans="1:21">
      <c r="B245" s="2"/>
      <c r="C245" s="2"/>
      <c r="D245" s="2"/>
      <c r="E245" s="2"/>
      <c r="F245" s="2"/>
      <c r="G245" s="2"/>
      <c r="H245" s="2"/>
      <c r="I245" s="2"/>
      <c r="J245" s="2"/>
      <c r="K245" s="2"/>
      <c r="L245" s="2"/>
      <c r="M245" s="2"/>
      <c r="N245" s="2"/>
      <c r="O245" s="2"/>
    </row>
    <row r="246" spans="1:21">
      <c r="A246" t="s">
        <v>330</v>
      </c>
      <c r="B246" s="2">
        <f>IF(B45="No Generator",0,IF(B45="WG 100",1,IF(B45="WG 200",2,IF(B45="WG 300",3,IF(B45="WG 400",4,IF(B45="WG 500",5))))))</f>
        <v>0</v>
      </c>
      <c r="C246" s="2">
        <f>IF(C45="No Generator",0,IF(C45="WG 100",1,IF(C45="WG 200",2,IF(C45="WG 300",3,IF(C45="WG 400",4,IF(C45="WG 500",5))))))</f>
        <v>0</v>
      </c>
      <c r="D246" s="2">
        <f>IF(D45="No Generator",0,IF(D45="WG 100",1,IF(D45="WG 200",2,IF(D45="WG 300",3,IF(D45="WG 400",4,IF(D45="WG 500",5))))))</f>
        <v>0</v>
      </c>
      <c r="E246" s="2">
        <f>IF(E45="No Generator",0,IF(E45="WG 100",1,IF(E45="WG 200",2,IF(E45="WG 300",3,IF(E45="WG 400",4,IF(E45="WG 500",5))))))</f>
        <v>1</v>
      </c>
      <c r="F246" s="2">
        <f t="shared" ref="F246:O246" si="34">IF(F45="No Generator",0,IF(F45="WG 100",1,IF(F45="WG 200",2,IF(F45="WG 300",3,IF(F45="WG 400",4,IF(F45="WG 500",5))))))</f>
        <v>0</v>
      </c>
      <c r="G246" s="2">
        <f t="shared" si="34"/>
        <v>0</v>
      </c>
      <c r="H246" s="2">
        <f t="shared" si="34"/>
        <v>1</v>
      </c>
      <c r="I246" s="2">
        <f t="shared" si="34"/>
        <v>0</v>
      </c>
      <c r="J246" s="2">
        <f t="shared" si="34"/>
        <v>0</v>
      </c>
      <c r="K246" s="2">
        <f t="shared" si="34"/>
        <v>0</v>
      </c>
      <c r="L246" s="2">
        <f t="shared" si="34"/>
        <v>1</v>
      </c>
      <c r="M246" s="2">
        <f t="shared" si="34"/>
        <v>2</v>
      </c>
      <c r="N246" s="2">
        <f t="shared" si="34"/>
        <v>2</v>
      </c>
      <c r="O246" s="2">
        <f t="shared" si="34"/>
        <v>5</v>
      </c>
      <c r="P246" s="2"/>
      <c r="Q246" s="2"/>
      <c r="R246" s="2"/>
      <c r="S246" s="2"/>
      <c r="T246" s="2"/>
      <c r="U246" s="2"/>
    </row>
    <row r="247" spans="1:21">
      <c r="A247" t="s">
        <v>331</v>
      </c>
      <c r="B247" s="2">
        <f>IF(B43="No Generator",0,IF(B43="SG 100",1,IF(B43="SG 200",2,IF(B43="SG 300",3,IF(B43="SG 400",4,IF(B43="SG 500",5))))))</f>
        <v>0</v>
      </c>
      <c r="C247" s="2">
        <f t="shared" ref="C247:O247" si="35">IF(C43="No Generator",0,IF(C43="SG 100",1,IF(C43="SG 200",2,IF(C43="SG 300",3,IF(C43="SG 400",4,IF(C43="SG 500",5))))))</f>
        <v>1</v>
      </c>
      <c r="D247" s="2">
        <f t="shared" si="35"/>
        <v>1</v>
      </c>
      <c r="E247" s="2">
        <f t="shared" si="35"/>
        <v>0</v>
      </c>
      <c r="F247" s="2">
        <f t="shared" si="35"/>
        <v>2</v>
      </c>
      <c r="G247" s="2">
        <f t="shared" si="35"/>
        <v>3</v>
      </c>
      <c r="H247" s="2">
        <f t="shared" si="35"/>
        <v>3</v>
      </c>
      <c r="I247" s="2">
        <f t="shared" si="35"/>
        <v>5</v>
      </c>
      <c r="J247" s="2">
        <f t="shared" si="35"/>
        <v>5</v>
      </c>
      <c r="K247" s="2">
        <f t="shared" si="35"/>
        <v>5</v>
      </c>
      <c r="L247" s="2">
        <f t="shared" si="35"/>
        <v>5</v>
      </c>
      <c r="M247" s="2">
        <f t="shared" si="35"/>
        <v>5</v>
      </c>
      <c r="N247" s="2">
        <f t="shared" si="35"/>
        <v>5</v>
      </c>
      <c r="O247" s="2">
        <f t="shared" si="35"/>
        <v>3</v>
      </c>
      <c r="P247" s="2"/>
      <c r="Q247" s="2"/>
      <c r="R247" s="2"/>
      <c r="S247" s="2"/>
      <c r="T247" s="2"/>
      <c r="U247" s="2"/>
    </row>
    <row r="248" spans="1:21">
      <c r="A248" t="s">
        <v>339</v>
      </c>
      <c r="B248" s="11">
        <f>-IF(B246=0,0,IF(B246=1,$B$209*(1),IF(B246=2,$B$209*(1+0.95),IF(B246=3,$B$209*(1+0.95+0.9),IF(B246=4,$B$209*(1+0.95+0.9+0.85),IF(B246=5,$B$209*(1+0.95+0.9+0.85+0.8)))))))</f>
        <v>0</v>
      </c>
      <c r="C248" s="11">
        <f>-IF(C246=0,0,IF(C246=1,$B$209*(1),IF(C246=2,$B$209*(1+0.95),IF(C246=3,$B$209*(1+0.95+0.9),IF(C246=4,$B$209*(1+0.95+0.9+0.85),IF(C246=5,$B$209*(1+0.95+0.9+0.85+0.8)))))))</f>
        <v>0</v>
      </c>
      <c r="D248" s="11">
        <f>-IF(D246=0,0,IF(D246=1,$B$209*(1),IF(D246=2,$B$209*(1+0.95),IF(D246=3,$B$209*(1+0.95+0.9),IF(D246=4,$B$209*(1+0.95+0.9+0.85),IF(D246=5,$B$209*(1+0.95+0.9+0.85+0.8)))))))</f>
        <v>0</v>
      </c>
      <c r="E248" s="11">
        <f>-IF(E246=0,0,IF(E246=1,$B$209*(1),IF(E246=2,$B$209*(1+0.95),IF(E246=3,$B$209*(1+0.95+0.9),IF(E246=4,$B$209*(1+0.95+0.9+0.85),IF(E246=5,$B$209*(1+0.95+0.9+0.85+0.8)))))))</f>
        <v>-560000</v>
      </c>
      <c r="F248" s="11">
        <f t="shared" ref="F248:O248" si="36">-IF(F246=0,0,IF(F246=1,$B$209*(1),IF(F246=2,$B$209*(1+0.95),IF(F246=3,$B$209*(1+0.95+0.9),IF(F246=4,$B$209*(1+0.95+0.9+0.85),IF(F246=5,$B$209*(1+0.95+0.9+0.85+0.8)))))))</f>
        <v>0</v>
      </c>
      <c r="G248" s="11">
        <f t="shared" si="36"/>
        <v>0</v>
      </c>
      <c r="H248" s="11">
        <f t="shared" si="36"/>
        <v>-560000</v>
      </c>
      <c r="I248" s="11">
        <f t="shared" si="36"/>
        <v>0</v>
      </c>
      <c r="J248" s="11">
        <f t="shared" si="36"/>
        <v>0</v>
      </c>
      <c r="K248" s="11">
        <f t="shared" si="36"/>
        <v>0</v>
      </c>
      <c r="L248" s="11">
        <f t="shared" si="36"/>
        <v>-560000</v>
      </c>
      <c r="M248" s="11">
        <f t="shared" si="36"/>
        <v>-1092000</v>
      </c>
      <c r="N248" s="11">
        <f t="shared" si="36"/>
        <v>-1092000</v>
      </c>
      <c r="O248" s="11">
        <f t="shared" si="36"/>
        <v>-2520000</v>
      </c>
      <c r="P248" s="11"/>
      <c r="Q248" s="11"/>
      <c r="R248" s="11"/>
      <c r="S248" s="11"/>
      <c r="T248" s="11"/>
      <c r="U248" s="11"/>
    </row>
    <row r="249" spans="1:21">
      <c r="A249" t="s">
        <v>352</v>
      </c>
      <c r="B249" s="11">
        <v>0</v>
      </c>
      <c r="C249" s="11">
        <v>0</v>
      </c>
      <c r="D249" s="11">
        <v>0</v>
      </c>
      <c r="E249" s="11">
        <v>0</v>
      </c>
      <c r="F249" s="11">
        <v>0</v>
      </c>
      <c r="G249" s="11">
        <v>0</v>
      </c>
      <c r="H249" s="11">
        <v>0</v>
      </c>
      <c r="I249" s="11">
        <v>0</v>
      </c>
      <c r="J249" s="11">
        <v>0</v>
      </c>
      <c r="K249" s="11">
        <v>0</v>
      </c>
      <c r="L249" s="11">
        <v>0</v>
      </c>
      <c r="M249" s="11">
        <v>0</v>
      </c>
      <c r="N249" s="11">
        <v>0</v>
      </c>
      <c r="O249" s="11">
        <v>0</v>
      </c>
      <c r="P249" s="11"/>
      <c r="Q249" s="11"/>
      <c r="R249" s="11"/>
      <c r="S249" s="11"/>
      <c r="T249" s="11"/>
      <c r="U249" s="11"/>
    </row>
    <row r="250" spans="1:21">
      <c r="A250" t="s">
        <v>336</v>
      </c>
      <c r="B250" s="11">
        <f>-NPV($B$173,0,0,0,0,0,0,0,0,0,0,875*B247*100)</f>
        <v>0</v>
      </c>
      <c r="C250" s="11">
        <f t="shared" ref="C250:O250" si="37">-NPV($B$173,0,0,0,0,0,0,0,0,0,0,875*C247*100)</f>
        <v>-63211.861702391681</v>
      </c>
      <c r="D250" s="11">
        <f t="shared" si="37"/>
        <v>-63211.861702391681</v>
      </c>
      <c r="E250" s="11">
        <f>-NPV($B$173,0,0,0,0,0,0,0,0,0,0,875*E247*100)</f>
        <v>0</v>
      </c>
      <c r="F250" s="11">
        <f t="shared" si="37"/>
        <v>-126423.72340478336</v>
      </c>
      <c r="G250" s="11">
        <f t="shared" si="37"/>
        <v>-189635.58510717505</v>
      </c>
      <c r="H250" s="11">
        <f t="shared" si="37"/>
        <v>-189635.58510717505</v>
      </c>
      <c r="I250" s="11">
        <f t="shared" si="37"/>
        <v>-316059.3085119584</v>
      </c>
      <c r="J250" s="11">
        <f t="shared" si="37"/>
        <v>-316059.3085119584</v>
      </c>
      <c r="K250" s="11">
        <f t="shared" si="37"/>
        <v>-316059.3085119584</v>
      </c>
      <c r="L250" s="11">
        <f t="shared" si="37"/>
        <v>-316059.3085119584</v>
      </c>
      <c r="M250" s="11">
        <f t="shared" si="37"/>
        <v>-316059.3085119584</v>
      </c>
      <c r="N250" s="11">
        <f t="shared" si="37"/>
        <v>-316059.3085119584</v>
      </c>
      <c r="O250" s="11">
        <f t="shared" si="37"/>
        <v>-189635.58510717505</v>
      </c>
      <c r="P250" s="11"/>
      <c r="Q250" s="11"/>
      <c r="R250" s="11"/>
      <c r="S250" s="11"/>
      <c r="T250" s="11"/>
      <c r="U250" s="11"/>
    </row>
    <row r="251" spans="1:21">
      <c r="A251" t="s">
        <v>340</v>
      </c>
      <c r="B251" s="11">
        <f>-IF(B247=0,0,IF(B247=1,17500*(1),IF(B247=2,17500*(1+0.975),IF(B247=3,17500*(1+0.975+0.95),IF(B247=4,17500*(1+0.975+0.95+0.925),IF(B247=5,17500*(1+0.975+0.95+0.925+0.9)))))))</f>
        <v>0</v>
      </c>
      <c r="C251" s="11">
        <f>-IF(C247=0,0,IF(C247=1,17500*(1),IF(C247=2,17500*(1+0.975),IF(C247=3,17500*(1+0.975+0.95),IF(C247=4,17500*(1+0.975+0.95+0.925),IF(C247=5,17500*(1+0.975+0.95+0.925+0.9)))))))</f>
        <v>-17500</v>
      </c>
      <c r="D251" s="11">
        <f>-IF(D247=0,0,IF(D247=1,17500*(1),IF(D247=2,17500*(1+0.975),IF(D247=3,17500*(1+0.975+0.95),IF(D247=4,17500*(1+0.975+0.95+0.925),IF(D247=5,17500*(1+0.975+0.95+0.925+0.9)))))))</f>
        <v>-17500</v>
      </c>
      <c r="E251" s="11">
        <f>-IF(E247=0,0,IF(E247=1,17500*(1),IF(E247=2,17500*(1+0.975),IF(E247=3,17500*(1+0.975+0.95),IF(E247=4,17500*(1+0.975+0.95+0.925),IF(E247=5,17500*(1+0.975+0.95+0.925+0.9)))))))</f>
        <v>0</v>
      </c>
      <c r="F251" s="11">
        <f t="shared" ref="F251:O251" si="38">-IF(F247=0,0,IF(F247=1,17500*(1),IF(F247=2,17500*(1+0.975),IF(F247=3,17500*(1+0.975+0.95),IF(F247=4,17500*(1+0.975+0.95+0.925),IF(F247=5,17500*(1+0.975+0.95+0.925+0.9)))))))</f>
        <v>-34562.5</v>
      </c>
      <c r="G251" s="11">
        <f t="shared" si="38"/>
        <v>-51187.5</v>
      </c>
      <c r="H251" s="11">
        <f t="shared" si="38"/>
        <v>-51187.5</v>
      </c>
      <c r="I251" s="11">
        <f t="shared" si="38"/>
        <v>-83125</v>
      </c>
      <c r="J251" s="11">
        <f t="shared" si="38"/>
        <v>-83125</v>
      </c>
      <c r="K251" s="11">
        <f t="shared" si="38"/>
        <v>-83125</v>
      </c>
      <c r="L251" s="11">
        <f t="shared" si="38"/>
        <v>-83125</v>
      </c>
      <c r="M251" s="11">
        <f t="shared" si="38"/>
        <v>-83125</v>
      </c>
      <c r="N251" s="11">
        <f t="shared" si="38"/>
        <v>-83125</v>
      </c>
      <c r="O251" s="11">
        <f t="shared" si="38"/>
        <v>-51187.5</v>
      </c>
      <c r="P251" s="11"/>
      <c r="Q251" s="11"/>
      <c r="R251" s="11"/>
      <c r="S251" s="11"/>
      <c r="T251" s="11"/>
      <c r="U251" s="11"/>
    </row>
    <row r="252" spans="1:21">
      <c r="A252" t="s">
        <v>341</v>
      </c>
      <c r="B252" s="11">
        <f t="shared" ref="B252:O252" si="39">-B247*$B$211*24*365</f>
        <v>0</v>
      </c>
      <c r="C252" s="11">
        <f t="shared" si="39"/>
        <v>-4730.4000000000005</v>
      </c>
      <c r="D252" s="11">
        <f t="shared" si="39"/>
        <v>-4730.4000000000005</v>
      </c>
      <c r="E252" s="11">
        <f t="shared" si="39"/>
        <v>0</v>
      </c>
      <c r="F252" s="11">
        <f t="shared" si="39"/>
        <v>-9460.8000000000011</v>
      </c>
      <c r="G252" s="11">
        <f t="shared" si="39"/>
        <v>-14191.2</v>
      </c>
      <c r="H252" s="11">
        <f t="shared" si="39"/>
        <v>-14191.2</v>
      </c>
      <c r="I252" s="11">
        <f t="shared" si="39"/>
        <v>-23652.000000000004</v>
      </c>
      <c r="J252" s="11">
        <f t="shared" si="39"/>
        <v>-23652.000000000004</v>
      </c>
      <c r="K252" s="11">
        <f t="shared" si="39"/>
        <v>-23652.000000000004</v>
      </c>
      <c r="L252" s="11">
        <f t="shared" si="39"/>
        <v>-23652.000000000004</v>
      </c>
      <c r="M252" s="11">
        <f t="shared" si="39"/>
        <v>-23652.000000000004</v>
      </c>
      <c r="N252" s="11">
        <f t="shared" si="39"/>
        <v>-23652.000000000004</v>
      </c>
      <c r="O252" s="11">
        <f t="shared" si="39"/>
        <v>-14191.2</v>
      </c>
      <c r="P252" s="11"/>
      <c r="Q252" s="11"/>
      <c r="R252" s="11"/>
      <c r="S252" s="11"/>
      <c r="T252" s="11"/>
      <c r="U252" s="11"/>
    </row>
    <row r="253" spans="1:21">
      <c r="B253" s="2"/>
      <c r="C253" s="2"/>
      <c r="D253" s="2"/>
      <c r="E253" s="2"/>
      <c r="F253" s="2"/>
      <c r="G253" s="2"/>
      <c r="H253" s="2"/>
      <c r="I253" s="2"/>
      <c r="J253" s="2"/>
      <c r="K253" s="2"/>
      <c r="L253" s="2"/>
      <c r="M253" s="2"/>
      <c r="N253" s="2"/>
      <c r="O253" s="2"/>
    </row>
    <row r="254" spans="1:21">
      <c r="A254" t="s">
        <v>337</v>
      </c>
      <c r="B254" s="2"/>
      <c r="C254" s="2"/>
      <c r="D254" s="2"/>
      <c r="E254" s="2"/>
      <c r="F254" s="2"/>
      <c r="G254" s="2"/>
      <c r="H254" s="2"/>
      <c r="I254" s="2"/>
      <c r="J254" s="2"/>
      <c r="K254" s="2"/>
      <c r="L254" s="2"/>
      <c r="M254" s="2"/>
      <c r="N254" s="2"/>
      <c r="O254" s="2"/>
    </row>
    <row r="255" spans="1:21">
      <c r="A255" t="s">
        <v>100</v>
      </c>
      <c r="B255" s="2"/>
      <c r="C255" s="2"/>
      <c r="D255" s="2"/>
      <c r="E255" s="2"/>
      <c r="F255" s="2"/>
      <c r="G255" s="2"/>
      <c r="H255" s="2"/>
      <c r="I255" s="2"/>
      <c r="J255" s="2"/>
      <c r="K255" s="2"/>
      <c r="L255" s="2"/>
      <c r="M255" s="2"/>
      <c r="N255" s="2"/>
      <c r="O255" s="2"/>
    </row>
    <row r="256" spans="1:21">
      <c r="A256">
        <v>1</v>
      </c>
      <c r="B256" s="11">
        <f t="shared" ref="B256:O256" si="40">SUM(B237:B240,B230:B233,B251:B252)</f>
        <v>-206738.67547727429</v>
      </c>
      <c r="C256" s="11">
        <f t="shared" si="40"/>
        <v>-223342.11707592662</v>
      </c>
      <c r="D256" s="11">
        <f t="shared" si="40"/>
        <v>-217027.16755567674</v>
      </c>
      <c r="E256" s="11">
        <f t="shared" si="40"/>
        <v>-173164.31417666774</v>
      </c>
      <c r="F256" s="11">
        <f t="shared" si="40"/>
        <v>-245501.23256915537</v>
      </c>
      <c r="G256" s="11">
        <f t="shared" si="40"/>
        <v>-251140.12406246856</v>
      </c>
      <c r="H256" s="11">
        <f t="shared" si="40"/>
        <v>-234193.75418450049</v>
      </c>
      <c r="I256" s="11">
        <f t="shared" si="40"/>
        <v>-290958.03394531988</v>
      </c>
      <c r="J256" s="11">
        <f t="shared" si="40"/>
        <v>-297139.65979474835</v>
      </c>
      <c r="K256" s="11">
        <f t="shared" si="40"/>
        <v>-297700.11291953066</v>
      </c>
      <c r="L256" s="11">
        <f t="shared" si="40"/>
        <v>-276360.86212522781</v>
      </c>
      <c r="M256" s="11">
        <f t="shared" si="40"/>
        <v>-277826.7905085138</v>
      </c>
      <c r="N256" s="11">
        <f t="shared" si="40"/>
        <v>-278701.63760672475</v>
      </c>
      <c r="O256" s="11">
        <f t="shared" si="40"/>
        <v>-238126.92847432999</v>
      </c>
      <c r="P256" s="11"/>
      <c r="Q256" s="11"/>
      <c r="R256" s="11"/>
      <c r="S256" s="11"/>
      <c r="T256" s="11"/>
      <c r="U256" s="11"/>
    </row>
    <row r="257" spans="1:15">
      <c r="A257">
        <v>2</v>
      </c>
      <c r="B257" s="11">
        <f t="shared" ref="B257:I266" si="41">B$256/((1+$B$173)^$A257)</f>
        <v>-194871.02976460959</v>
      </c>
      <c r="C257" s="11">
        <f t="shared" si="41"/>
        <v>-210521.36589304046</v>
      </c>
      <c r="D257" s="11">
        <f t="shared" si="41"/>
        <v>-204568.92030886677</v>
      </c>
      <c r="E257" s="11">
        <f t="shared" si="41"/>
        <v>-163223.97415087922</v>
      </c>
      <c r="F257" s="11">
        <f t="shared" si="41"/>
        <v>-231408.45750698028</v>
      </c>
      <c r="G257" s="11">
        <f t="shared" si="41"/>
        <v>-236723.65356062641</v>
      </c>
      <c r="H257" s="11">
        <f t="shared" si="41"/>
        <v>-220750.07463898623</v>
      </c>
      <c r="I257" s="11">
        <f t="shared" si="41"/>
        <v>-274255.85252645856</v>
      </c>
      <c r="J257" s="11">
        <f t="shared" ref="J257:O266" si="42">J$256/((1+$B$173)^$A257)</f>
        <v>-280082.62776392529</v>
      </c>
      <c r="K257" s="11">
        <f t="shared" si="42"/>
        <v>-280610.90858660633</v>
      </c>
      <c r="L257" s="11">
        <f t="shared" si="42"/>
        <v>-260496.61808391727</v>
      </c>
      <c r="M257" s="11">
        <f t="shared" si="42"/>
        <v>-261878.3961810857</v>
      </c>
      <c r="N257" s="11">
        <f t="shared" si="42"/>
        <v>-262703.02347697684</v>
      </c>
      <c r="O257" s="11">
        <f t="shared" si="42"/>
        <v>-224457.46863448957</v>
      </c>
    </row>
    <row r="258" spans="1:15">
      <c r="A258">
        <v>3</v>
      </c>
      <c r="B258" s="11">
        <f t="shared" si="41"/>
        <v>-189195.17452874716</v>
      </c>
      <c r="C258" s="11">
        <f t="shared" si="41"/>
        <v>-204389.67562431112</v>
      </c>
      <c r="D258" s="11">
        <f t="shared" si="41"/>
        <v>-198610.60224161821</v>
      </c>
      <c r="E258" s="11">
        <f t="shared" si="41"/>
        <v>-158469.87781638757</v>
      </c>
      <c r="F258" s="11">
        <f t="shared" si="41"/>
        <v>-224668.40534658279</v>
      </c>
      <c r="G258" s="11">
        <f t="shared" si="41"/>
        <v>-229828.78986468582</v>
      </c>
      <c r="H258" s="11">
        <f t="shared" si="41"/>
        <v>-214320.46081454973</v>
      </c>
      <c r="I258" s="11">
        <f t="shared" si="41"/>
        <v>-266267.81798685296</v>
      </c>
      <c r="J258" s="11">
        <f t="shared" si="42"/>
        <v>-271924.88132419932</v>
      </c>
      <c r="K258" s="11">
        <f t="shared" si="42"/>
        <v>-272437.77532680228</v>
      </c>
      <c r="L258" s="11">
        <f t="shared" si="42"/>
        <v>-252909.33794555074</v>
      </c>
      <c r="M258" s="11">
        <f t="shared" si="42"/>
        <v>-254250.87007872396</v>
      </c>
      <c r="N258" s="11">
        <f t="shared" si="42"/>
        <v>-255051.47910386103</v>
      </c>
      <c r="O258" s="11">
        <f t="shared" si="42"/>
        <v>-217919.87246066949</v>
      </c>
    </row>
    <row r="259" spans="1:15">
      <c r="A259">
        <v>4</v>
      </c>
      <c r="B259" s="11">
        <f t="shared" si="41"/>
        <v>-183684.63546480308</v>
      </c>
      <c r="C259" s="11">
        <f t="shared" si="41"/>
        <v>-198436.57827603022</v>
      </c>
      <c r="D259" s="11">
        <f t="shared" si="41"/>
        <v>-192825.82741904684</v>
      </c>
      <c r="E259" s="11">
        <f t="shared" si="41"/>
        <v>-153854.25030717242</v>
      </c>
      <c r="F259" s="11">
        <f t="shared" si="41"/>
        <v>-218124.66538503184</v>
      </c>
      <c r="G259" s="11">
        <f t="shared" si="41"/>
        <v>-223134.74744144257</v>
      </c>
      <c r="H259" s="11">
        <f t="shared" si="41"/>
        <v>-208078.11729567937</v>
      </c>
      <c r="I259" s="11">
        <f t="shared" si="41"/>
        <v>-258512.44464743009</v>
      </c>
      <c r="J259" s="11">
        <f t="shared" si="42"/>
        <v>-264004.73914970813</v>
      </c>
      <c r="K259" s="11">
        <f t="shared" si="42"/>
        <v>-264502.69449204108</v>
      </c>
      <c r="L259" s="11">
        <f t="shared" si="42"/>
        <v>-245543.0465490784</v>
      </c>
      <c r="M259" s="11">
        <f t="shared" si="42"/>
        <v>-246845.50493079997</v>
      </c>
      <c r="N259" s="11">
        <f t="shared" si="42"/>
        <v>-247622.79524646702</v>
      </c>
      <c r="O259" s="11">
        <f t="shared" si="42"/>
        <v>-211572.69170938787</v>
      </c>
    </row>
    <row r="260" spans="1:15">
      <c r="A260">
        <v>5</v>
      </c>
      <c r="B260" s="11">
        <f t="shared" si="41"/>
        <v>-178334.59753864378</v>
      </c>
      <c r="C260" s="11">
        <f t="shared" si="41"/>
        <v>-192656.87211265072</v>
      </c>
      <c r="D260" s="11">
        <f t="shared" si="41"/>
        <v>-187209.54118354063</v>
      </c>
      <c r="E260" s="11">
        <f t="shared" si="41"/>
        <v>-149373.05855065284</v>
      </c>
      <c r="F260" s="11">
        <f t="shared" si="41"/>
        <v>-211771.51979129307</v>
      </c>
      <c r="G260" s="11">
        <f t="shared" si="41"/>
        <v>-216635.67712761415</v>
      </c>
      <c r="H260" s="11">
        <f t="shared" si="41"/>
        <v>-202017.58960745571</v>
      </c>
      <c r="I260" s="11">
        <f t="shared" si="41"/>
        <v>-250982.95596837875</v>
      </c>
      <c r="J260" s="11">
        <f t="shared" si="42"/>
        <v>-256315.28072787196</v>
      </c>
      <c r="K260" s="11">
        <f t="shared" si="42"/>
        <v>-256798.73251654473</v>
      </c>
      <c r="L260" s="11">
        <f t="shared" si="42"/>
        <v>-238391.30732920233</v>
      </c>
      <c r="M260" s="11">
        <f t="shared" si="42"/>
        <v>-239655.83002990292</v>
      </c>
      <c r="N260" s="11">
        <f t="shared" si="42"/>
        <v>-240410.48082181267</v>
      </c>
      <c r="O260" s="11">
        <f t="shared" si="42"/>
        <v>-205410.38030037659</v>
      </c>
    </row>
    <row r="261" spans="1:15">
      <c r="A261">
        <v>6</v>
      </c>
      <c r="B261" s="11">
        <f t="shared" si="41"/>
        <v>-173140.3859598483</v>
      </c>
      <c r="C261" s="11">
        <f t="shared" si="41"/>
        <v>-187045.50690548614</v>
      </c>
      <c r="D261" s="11">
        <f t="shared" si="41"/>
        <v>-181756.83610052484</v>
      </c>
      <c r="E261" s="11">
        <f t="shared" si="41"/>
        <v>-145022.38694238139</v>
      </c>
      <c r="F261" s="11">
        <f t="shared" si="41"/>
        <v>-205603.41727310006</v>
      </c>
      <c r="G261" s="11">
        <f t="shared" si="41"/>
        <v>-210325.90012389724</v>
      </c>
      <c r="H261" s="11">
        <f t="shared" si="41"/>
        <v>-196133.58214316086</v>
      </c>
      <c r="I261" s="11">
        <f t="shared" si="41"/>
        <v>-243672.77278483371</v>
      </c>
      <c r="J261" s="11">
        <f t="shared" si="42"/>
        <v>-248849.78711443878</v>
      </c>
      <c r="K261" s="11">
        <f t="shared" si="42"/>
        <v>-249319.15778305312</v>
      </c>
      <c r="L261" s="11">
        <f t="shared" si="42"/>
        <v>-231447.87119340032</v>
      </c>
      <c r="M261" s="11">
        <f t="shared" si="42"/>
        <v>-232675.56313582807</v>
      </c>
      <c r="N261" s="11">
        <f t="shared" si="42"/>
        <v>-233408.23380758511</v>
      </c>
      <c r="O261" s="11">
        <f t="shared" si="42"/>
        <v>-199427.553689686</v>
      </c>
    </row>
    <row r="262" spans="1:15">
      <c r="A262">
        <v>7</v>
      </c>
      <c r="B262" s="11">
        <f t="shared" si="41"/>
        <v>-168097.46209694009</v>
      </c>
      <c r="C262" s="11">
        <f t="shared" si="41"/>
        <v>-181597.57951988943</v>
      </c>
      <c r="D262" s="11">
        <f t="shared" si="41"/>
        <v>-176462.94767041248</v>
      </c>
      <c r="E262" s="11">
        <f t="shared" si="41"/>
        <v>-140798.4339246421</v>
      </c>
      <c r="F262" s="11">
        <f t="shared" si="41"/>
        <v>-199614.96822631071</v>
      </c>
      <c r="G262" s="11">
        <f t="shared" si="41"/>
        <v>-204199.90303290993</v>
      </c>
      <c r="H262" s="11">
        <f t="shared" si="41"/>
        <v>-190420.95353704938</v>
      </c>
      <c r="I262" s="11">
        <f t="shared" si="41"/>
        <v>-236575.50755809096</v>
      </c>
      <c r="J262" s="11">
        <f t="shared" si="42"/>
        <v>-241601.7350625619</v>
      </c>
      <c r="K262" s="11">
        <f t="shared" si="42"/>
        <v>-242057.43474082826</v>
      </c>
      <c r="L262" s="11">
        <f t="shared" si="42"/>
        <v>-224706.6710615537</v>
      </c>
      <c r="M262" s="11">
        <f t="shared" si="42"/>
        <v>-225898.60498624083</v>
      </c>
      <c r="N262" s="11">
        <f t="shared" si="42"/>
        <v>-226609.93573551951</v>
      </c>
      <c r="O262" s="11">
        <f t="shared" si="42"/>
        <v>-193618.98416474368</v>
      </c>
    </row>
    <row r="263" spans="1:15">
      <c r="A263">
        <v>8</v>
      </c>
      <c r="B263" s="11">
        <f t="shared" si="41"/>
        <v>-163201.41951159234</v>
      </c>
      <c r="C263" s="11">
        <f t="shared" si="41"/>
        <v>-176308.32963096062</v>
      </c>
      <c r="D263" s="11">
        <f t="shared" si="41"/>
        <v>-171323.25016544902</v>
      </c>
      <c r="E263" s="11">
        <f t="shared" si="41"/>
        <v>-136697.5086647011</v>
      </c>
      <c r="F263" s="11">
        <f t="shared" si="41"/>
        <v>-193800.94002554441</v>
      </c>
      <c r="G263" s="11">
        <f t="shared" si="41"/>
        <v>-198252.33304166014</v>
      </c>
      <c r="H263" s="11">
        <f t="shared" si="41"/>
        <v>-184874.71217189264</v>
      </c>
      <c r="I263" s="11">
        <f t="shared" si="41"/>
        <v>-229684.9587942631</v>
      </c>
      <c r="J263" s="11">
        <f t="shared" si="42"/>
        <v>-234564.79132287565</v>
      </c>
      <c r="K263" s="11">
        <f t="shared" si="42"/>
        <v>-235007.21819497892</v>
      </c>
      <c r="L263" s="11">
        <f t="shared" si="42"/>
        <v>-218161.81656461526</v>
      </c>
      <c r="M263" s="11">
        <f t="shared" si="42"/>
        <v>-219319.03396722412</v>
      </c>
      <c r="N263" s="11">
        <f t="shared" si="42"/>
        <v>-220009.6463451646</v>
      </c>
      <c r="O263" s="11">
        <f t="shared" si="42"/>
        <v>-187979.5962764502</v>
      </c>
    </row>
    <row r="264" spans="1:15">
      <c r="A264">
        <v>9</v>
      </c>
      <c r="B264" s="11">
        <f t="shared" si="41"/>
        <v>-158447.98010834208</v>
      </c>
      <c r="C264" s="11">
        <f t="shared" si="41"/>
        <v>-171173.13556403946</v>
      </c>
      <c r="D264" s="11">
        <f t="shared" si="41"/>
        <v>-166333.25258781458</v>
      </c>
      <c r="E264" s="11">
        <f t="shared" si="41"/>
        <v>-132716.02782980687</v>
      </c>
      <c r="F264" s="11">
        <f t="shared" si="41"/>
        <v>-188156.25245198485</v>
      </c>
      <c r="G264" s="11">
        <f t="shared" si="41"/>
        <v>-192477.99324433022</v>
      </c>
      <c r="H264" s="11">
        <f t="shared" si="41"/>
        <v>-179490.01181737147</v>
      </c>
      <c r="I264" s="11">
        <f t="shared" si="41"/>
        <v>-222995.10562549814</v>
      </c>
      <c r="J264" s="11">
        <f t="shared" si="42"/>
        <v>-227732.80710958803</v>
      </c>
      <c r="K264" s="11">
        <f t="shared" si="42"/>
        <v>-228162.34776211545</v>
      </c>
      <c r="L264" s="11">
        <f t="shared" si="42"/>
        <v>-211807.58889768471</v>
      </c>
      <c r="M264" s="11">
        <f t="shared" si="42"/>
        <v>-212931.10093905253</v>
      </c>
      <c r="N264" s="11">
        <f t="shared" si="42"/>
        <v>-213601.59839336367</v>
      </c>
      <c r="O264" s="11">
        <f t="shared" si="42"/>
        <v>-182504.46240432057</v>
      </c>
    </row>
    <row r="265" spans="1:15">
      <c r="A265">
        <v>10</v>
      </c>
      <c r="B265" s="11">
        <f t="shared" si="41"/>
        <v>-153832.99039644861</v>
      </c>
      <c r="C265" s="11">
        <f t="shared" si="41"/>
        <v>-166187.51025634899</v>
      </c>
      <c r="D265" s="11">
        <f t="shared" si="41"/>
        <v>-161488.59474545106</v>
      </c>
      <c r="E265" s="11">
        <f t="shared" si="41"/>
        <v>-128850.51245612319</v>
      </c>
      <c r="F265" s="11">
        <f t="shared" si="41"/>
        <v>-182675.97325435423</v>
      </c>
      <c r="G265" s="11">
        <f t="shared" si="41"/>
        <v>-186871.83810129148</v>
      </c>
      <c r="H265" s="11">
        <f t="shared" si="41"/>
        <v>-174262.1473955063</v>
      </c>
      <c r="I265" s="11">
        <f t="shared" si="41"/>
        <v>-216500.10254902733</v>
      </c>
      <c r="J265" s="11">
        <f t="shared" si="42"/>
        <v>-221099.81272775534</v>
      </c>
      <c r="K265" s="11">
        <f t="shared" si="42"/>
        <v>-221516.84248749074</v>
      </c>
      <c r="L265" s="11">
        <f t="shared" si="42"/>
        <v>-205638.43582299486</v>
      </c>
      <c r="M265" s="11">
        <f t="shared" si="42"/>
        <v>-206729.22421267236</v>
      </c>
      <c r="N265" s="11">
        <f t="shared" si="42"/>
        <v>-207380.19261491619</v>
      </c>
      <c r="O265" s="11">
        <f t="shared" si="42"/>
        <v>-177188.79845079666</v>
      </c>
    </row>
    <row r="266" spans="1:15">
      <c r="A266">
        <v>11</v>
      </c>
      <c r="B266" s="11">
        <f t="shared" si="41"/>
        <v>-149352.41786062974</v>
      </c>
      <c r="C266" s="11">
        <f t="shared" si="41"/>
        <v>-161347.09733626113</v>
      </c>
      <c r="D266" s="11">
        <f t="shared" si="41"/>
        <v>-156785.04344218547</v>
      </c>
      <c r="E266" s="11">
        <f t="shared" si="41"/>
        <v>-125097.58490885746</v>
      </c>
      <c r="F266" s="11">
        <f t="shared" si="41"/>
        <v>-177355.31383917885</v>
      </c>
      <c r="G266" s="11">
        <f t="shared" si="41"/>
        <v>-181428.96903038007</v>
      </c>
      <c r="H266" s="11">
        <f t="shared" si="41"/>
        <v>-169186.55086942358</v>
      </c>
      <c r="I266" s="11">
        <f t="shared" si="41"/>
        <v>-210194.274319444</v>
      </c>
      <c r="J266" s="11">
        <f t="shared" si="42"/>
        <v>-214660.01235704403</v>
      </c>
      <c r="K266" s="11">
        <f t="shared" si="42"/>
        <v>-215064.89561892304</v>
      </c>
      <c r="L266" s="11">
        <f t="shared" si="42"/>
        <v>-199648.96681844161</v>
      </c>
      <c r="M266" s="11">
        <f t="shared" si="42"/>
        <v>-200707.98467249743</v>
      </c>
      <c r="N266" s="11">
        <f t="shared" si="42"/>
        <v>-201339.99283001572</v>
      </c>
      <c r="O266" s="11">
        <f t="shared" si="42"/>
        <v>-172027.95966096764</v>
      </c>
    </row>
    <row r="267" spans="1:15">
      <c r="A267">
        <v>12</v>
      </c>
      <c r="B267" s="11">
        <f t="shared" ref="B267:I275" si="43">B$256/((1+$B$173)^$A267)</f>
        <v>-145002.34743750462</v>
      </c>
      <c r="C267" s="11">
        <f t="shared" si="43"/>
        <v>-156647.66731675842</v>
      </c>
      <c r="D267" s="11">
        <f t="shared" si="43"/>
        <v>-152218.48877882087</v>
      </c>
      <c r="E267" s="11">
        <f t="shared" si="43"/>
        <v>-121453.9659309296</v>
      </c>
      <c r="F267" s="11">
        <f t="shared" si="43"/>
        <v>-172189.62508658145</v>
      </c>
      <c r="G267" s="11">
        <f t="shared" si="43"/>
        <v>-176144.63012658263</v>
      </c>
      <c r="H267" s="11">
        <f t="shared" si="43"/>
        <v>-164258.78725186756</v>
      </c>
      <c r="I267" s="11">
        <f t="shared" si="43"/>
        <v>-204072.1109897515</v>
      </c>
      <c r="J267" s="11">
        <f t="shared" ref="J267:O275" si="44">J$256/((1+$B$173)^$A267)</f>
        <v>-208407.77898742142</v>
      </c>
      <c r="K267" s="11">
        <f t="shared" si="44"/>
        <v>-208800.869532935</v>
      </c>
      <c r="L267" s="11">
        <f t="shared" si="44"/>
        <v>-193833.94836741907</v>
      </c>
      <c r="M267" s="11">
        <f t="shared" si="44"/>
        <v>-194862.12104125967</v>
      </c>
      <c r="N267" s="11">
        <f t="shared" si="44"/>
        <v>-195475.72119419003</v>
      </c>
      <c r="O267" s="11">
        <f t="shared" si="44"/>
        <v>-167017.43656404628</v>
      </c>
    </row>
    <row r="268" spans="1:15">
      <c r="A268">
        <v>13</v>
      </c>
      <c r="B268" s="11">
        <f t="shared" si="43"/>
        <v>-140778.97809466466</v>
      </c>
      <c r="C268" s="11">
        <f t="shared" si="43"/>
        <v>-152085.11389976545</v>
      </c>
      <c r="D268" s="11">
        <f t="shared" si="43"/>
        <v>-147784.94056196202</v>
      </c>
      <c r="E268" s="11">
        <f t="shared" si="43"/>
        <v>-117916.47177760156</v>
      </c>
      <c r="F268" s="11">
        <f t="shared" si="43"/>
        <v>-167174.39328794315</v>
      </c>
      <c r="G268" s="11">
        <f t="shared" si="43"/>
        <v>-171014.20400639091</v>
      </c>
      <c r="H268" s="11">
        <f t="shared" si="43"/>
        <v>-159474.55072996853</v>
      </c>
      <c r="I268" s="11">
        <f t="shared" si="43"/>
        <v>-198128.26309684612</v>
      </c>
      <c r="J268" s="11">
        <f t="shared" si="44"/>
        <v>-202337.64950235089</v>
      </c>
      <c r="K268" s="11">
        <f t="shared" si="44"/>
        <v>-202719.29080867476</v>
      </c>
      <c r="L268" s="11">
        <f t="shared" si="44"/>
        <v>-188188.29938584377</v>
      </c>
      <c r="M268" s="11">
        <f t="shared" si="44"/>
        <v>-189186.52528277639</v>
      </c>
      <c r="N268" s="11">
        <f t="shared" si="44"/>
        <v>-189782.25358659227</v>
      </c>
      <c r="O268" s="11">
        <f t="shared" si="44"/>
        <v>-162152.85103305464</v>
      </c>
    </row>
    <row r="269" spans="1:15">
      <c r="A269">
        <v>14</v>
      </c>
      <c r="B269" s="11">
        <f t="shared" si="43"/>
        <v>-136678.61950938316</v>
      </c>
      <c r="C269" s="11">
        <f t="shared" si="43"/>
        <v>-147655.4503881218</v>
      </c>
      <c r="D269" s="11">
        <f t="shared" si="43"/>
        <v>-143480.52481743885</v>
      </c>
      <c r="E269" s="11">
        <f t="shared" si="43"/>
        <v>-114482.0114345646</v>
      </c>
      <c r="F269" s="11">
        <f t="shared" si="43"/>
        <v>-162305.23620188655</v>
      </c>
      <c r="G269" s="11">
        <f t="shared" si="43"/>
        <v>-166033.20777319503</v>
      </c>
      <c r="H269" s="11">
        <f t="shared" si="43"/>
        <v>-154829.66090288205</v>
      </c>
      <c r="I269" s="11">
        <f t="shared" si="43"/>
        <v>-192357.53698722922</v>
      </c>
      <c r="J269" s="11">
        <f t="shared" si="44"/>
        <v>-196444.31990519504</v>
      </c>
      <c r="K269" s="11">
        <f t="shared" si="44"/>
        <v>-196814.8454453153</v>
      </c>
      <c r="L269" s="11">
        <f t="shared" si="44"/>
        <v>-182707.08678237256</v>
      </c>
      <c r="M269" s="11">
        <f t="shared" si="44"/>
        <v>-183676.23813861783</v>
      </c>
      <c r="N269" s="11">
        <f t="shared" si="44"/>
        <v>-184254.61513261384</v>
      </c>
      <c r="O269" s="11">
        <f t="shared" si="44"/>
        <v>-157429.95245927633</v>
      </c>
    </row>
    <row r="270" spans="1:15">
      <c r="A270">
        <v>15</v>
      </c>
      <c r="B270" s="11">
        <f t="shared" si="43"/>
        <v>-132697.68884406131</v>
      </c>
      <c r="C270" s="11">
        <f t="shared" si="43"/>
        <v>-143354.80620205999</v>
      </c>
      <c r="D270" s="11">
        <f t="shared" si="43"/>
        <v>-139301.48040528042</v>
      </c>
      <c r="E270" s="11">
        <f t="shared" si="43"/>
        <v>-111147.58391705301</v>
      </c>
      <c r="F270" s="11">
        <f t="shared" si="43"/>
        <v>-157577.89922513257</v>
      </c>
      <c r="G270" s="11">
        <f t="shared" si="43"/>
        <v>-161197.28910018934</v>
      </c>
      <c r="H270" s="11">
        <f t="shared" si="43"/>
        <v>-150320.05912901167</v>
      </c>
      <c r="I270" s="11">
        <f t="shared" si="43"/>
        <v>-186754.89027886331</v>
      </c>
      <c r="J270" s="11">
        <f t="shared" si="44"/>
        <v>-190722.64068465534</v>
      </c>
      <c r="K270" s="11">
        <f t="shared" si="44"/>
        <v>-191082.3742187527</v>
      </c>
      <c r="L270" s="11">
        <f t="shared" si="44"/>
        <v>-177385.52114793452</v>
      </c>
      <c r="M270" s="11">
        <f t="shared" si="44"/>
        <v>-178326.44479477458</v>
      </c>
      <c r="N270" s="11">
        <f t="shared" si="44"/>
        <v>-178887.97585690665</v>
      </c>
      <c r="O270" s="11">
        <f t="shared" si="44"/>
        <v>-152844.61403813236</v>
      </c>
    </row>
    <row r="271" spans="1:15">
      <c r="A271">
        <v>16</v>
      </c>
      <c r="B271" s="11">
        <f t="shared" si="43"/>
        <v>-128832.70761559354</v>
      </c>
      <c r="C271" s="11">
        <f t="shared" si="43"/>
        <v>-139179.42349714565</v>
      </c>
      <c r="D271" s="11">
        <f t="shared" si="43"/>
        <v>-135244.15573328198</v>
      </c>
      <c r="E271" s="11">
        <f t="shared" si="43"/>
        <v>-107910.27564762429</v>
      </c>
      <c r="F271" s="11">
        <f t="shared" si="43"/>
        <v>-152988.25167488601</v>
      </c>
      <c r="G271" s="11">
        <f t="shared" si="43"/>
        <v>-156502.22242736834</v>
      </c>
      <c r="H271" s="11">
        <f t="shared" si="43"/>
        <v>-145941.80497962303</v>
      </c>
      <c r="I271" s="11">
        <f t="shared" si="43"/>
        <v>-181315.42745520713</v>
      </c>
      <c r="J271" s="11">
        <f t="shared" si="44"/>
        <v>-185167.6123151994</v>
      </c>
      <c r="K271" s="11">
        <f t="shared" si="44"/>
        <v>-185516.86817354633</v>
      </c>
      <c r="L271" s="11">
        <f t="shared" si="44"/>
        <v>-172218.95257081024</v>
      </c>
      <c r="M271" s="11">
        <f t="shared" si="44"/>
        <v>-173132.47067453846</v>
      </c>
      <c r="N271" s="11">
        <f t="shared" si="44"/>
        <v>-173677.64646301619</v>
      </c>
      <c r="O271" s="11">
        <f t="shared" si="44"/>
        <v>-148392.82916323532</v>
      </c>
    </row>
    <row r="272" spans="1:15">
      <c r="A272">
        <v>17</v>
      </c>
      <c r="B272" s="11">
        <f t="shared" si="43"/>
        <v>-125080.29865591605</v>
      </c>
      <c r="C272" s="11">
        <f t="shared" si="43"/>
        <v>-135125.65388072393</v>
      </c>
      <c r="D272" s="11">
        <f t="shared" si="43"/>
        <v>-131305.0055662932</v>
      </c>
      <c r="E272" s="11">
        <f t="shared" si="43"/>
        <v>-104767.25791031485</v>
      </c>
      <c r="F272" s="11">
        <f t="shared" si="43"/>
        <v>-148532.28317950098</v>
      </c>
      <c r="G272" s="11">
        <f t="shared" si="43"/>
        <v>-151943.90526928965</v>
      </c>
      <c r="H272" s="11">
        <f t="shared" si="43"/>
        <v>-141691.07279575052</v>
      </c>
      <c r="I272" s="11">
        <f t="shared" si="43"/>
        <v>-176034.39558757973</v>
      </c>
      <c r="J272" s="11">
        <f t="shared" si="44"/>
        <v>-179774.38088854312</v>
      </c>
      <c r="K272" s="11">
        <f t="shared" si="44"/>
        <v>-180113.46424616149</v>
      </c>
      <c r="L272" s="11">
        <f t="shared" si="44"/>
        <v>-167202.86657360216</v>
      </c>
      <c r="M272" s="11">
        <f t="shared" si="44"/>
        <v>-168089.77735392086</v>
      </c>
      <c r="N272" s="11">
        <f t="shared" si="44"/>
        <v>-168619.07423593805</v>
      </c>
      <c r="O272" s="11">
        <f t="shared" si="44"/>
        <v>-144070.70792547119</v>
      </c>
    </row>
    <row r="273" spans="1:15">
      <c r="A273">
        <v>18</v>
      </c>
      <c r="B273" s="11">
        <f t="shared" si="43"/>
        <v>-121437.18316108355</v>
      </c>
      <c r="C273" s="11">
        <f t="shared" si="43"/>
        <v>-131189.95522400379</v>
      </c>
      <c r="D273" s="11">
        <f t="shared" si="43"/>
        <v>-127480.58792843999</v>
      </c>
      <c r="E273" s="11">
        <f t="shared" si="43"/>
        <v>-101715.78437894645</v>
      </c>
      <c r="F273" s="11">
        <f t="shared" si="43"/>
        <v>-144206.10017427278</v>
      </c>
      <c r="G273" s="11">
        <f t="shared" si="43"/>
        <v>-147518.35463037828</v>
      </c>
      <c r="H273" s="11">
        <f t="shared" si="43"/>
        <v>-137564.14834538885</v>
      </c>
      <c r="I273" s="11">
        <f t="shared" si="43"/>
        <v>-170907.18018211625</v>
      </c>
      <c r="J273" s="11">
        <f t="shared" si="44"/>
        <v>-174538.23387237196</v>
      </c>
      <c r="K273" s="11">
        <f t="shared" si="44"/>
        <v>-174867.44101569077</v>
      </c>
      <c r="L273" s="11">
        <f t="shared" si="44"/>
        <v>-162332.88016854582</v>
      </c>
      <c r="M273" s="11">
        <f t="shared" si="44"/>
        <v>-163193.95859603965</v>
      </c>
      <c r="N273" s="11">
        <f t="shared" si="44"/>
        <v>-163707.83906401752</v>
      </c>
      <c r="O273" s="11">
        <f t="shared" si="44"/>
        <v>-139874.4737140497</v>
      </c>
    </row>
    <row r="274" spans="1:15">
      <c r="A274">
        <v>19</v>
      </c>
      <c r="B274" s="11">
        <f t="shared" si="43"/>
        <v>-117900.1778262947</v>
      </c>
      <c r="C274" s="11">
        <f t="shared" si="43"/>
        <v>-127368.88856699398</v>
      </c>
      <c r="D274" s="11">
        <f t="shared" si="43"/>
        <v>-123767.5610955728</v>
      </c>
      <c r="E274" s="11">
        <f t="shared" si="43"/>
        <v>-98753.188717423749</v>
      </c>
      <c r="F274" s="11">
        <f t="shared" si="43"/>
        <v>-140005.92249929399</v>
      </c>
      <c r="G274" s="11">
        <f t="shared" si="43"/>
        <v>-143221.70352463913</v>
      </c>
      <c r="H274" s="11">
        <f t="shared" si="43"/>
        <v>-133557.4255780474</v>
      </c>
      <c r="I274" s="11">
        <f t="shared" si="43"/>
        <v>-165929.30114768568</v>
      </c>
      <c r="J274" s="11">
        <f t="shared" si="44"/>
        <v>-169454.59599259414</v>
      </c>
      <c r="K274" s="11">
        <f t="shared" si="44"/>
        <v>-169774.21457834056</v>
      </c>
      <c r="L274" s="11">
        <f t="shared" si="44"/>
        <v>-157604.73802771437</v>
      </c>
      <c r="M274" s="11">
        <f t="shared" si="44"/>
        <v>-158440.73650100938</v>
      </c>
      <c r="N274" s="11">
        <f t="shared" si="44"/>
        <v>-158939.64957671604</v>
      </c>
      <c r="O274" s="11">
        <f t="shared" si="44"/>
        <v>-135800.45991655311</v>
      </c>
    </row>
    <row r="275" spans="1:15">
      <c r="A275">
        <v>20</v>
      </c>
      <c r="B275" s="11">
        <f>B$256/((1+$B$173)^$A275)</f>
        <v>-114466.1920643638</v>
      </c>
      <c r="C275" s="11">
        <f t="shared" si="43"/>
        <v>-123659.11511358639</v>
      </c>
      <c r="D275" s="11">
        <f t="shared" si="43"/>
        <v>-120162.68067531342</v>
      </c>
      <c r="E275" s="11">
        <f t="shared" si="43"/>
        <v>-95876.88224992597</v>
      </c>
      <c r="F275" s="11">
        <f t="shared" si="43"/>
        <v>-135928.08009640191</v>
      </c>
      <c r="G275" s="11">
        <f t="shared" si="43"/>
        <v>-139050.19759673701</v>
      </c>
      <c r="H275" s="11">
        <f t="shared" si="43"/>
        <v>-129667.40347383246</v>
      </c>
      <c r="I275" s="11">
        <f t="shared" si="43"/>
        <v>-161096.40888124824</v>
      </c>
      <c r="J275" s="11">
        <f t="shared" si="44"/>
        <v>-164519.0252355283</v>
      </c>
      <c r="K275" s="11">
        <f t="shared" si="44"/>
        <v>-164829.33454207823</v>
      </c>
      <c r="L275" s="11">
        <f t="shared" si="44"/>
        <v>-153014.30876477124</v>
      </c>
      <c r="M275" s="11">
        <f t="shared" si="44"/>
        <v>-153825.95776797028</v>
      </c>
      <c r="N275" s="11">
        <f t="shared" si="44"/>
        <v>-154310.33939486995</v>
      </c>
      <c r="O275" s="11">
        <f t="shared" si="44"/>
        <v>-131845.10671510009</v>
      </c>
    </row>
    <row r="276" spans="1:15">
      <c r="B276" s="11"/>
      <c r="C276" s="11"/>
      <c r="D276" s="11"/>
      <c r="E276" s="11"/>
      <c r="F276" s="11"/>
      <c r="G276" s="11"/>
      <c r="H276" s="11"/>
      <c r="I276" s="11"/>
      <c r="J276" s="11"/>
      <c r="K276" s="11"/>
      <c r="L276" s="11"/>
      <c r="M276" s="11"/>
      <c r="N276" s="11"/>
      <c r="O276" s="11"/>
    </row>
    <row r="277" spans="1:15">
      <c r="A277" t="s">
        <v>282</v>
      </c>
      <c r="B277" s="11">
        <f>SUM(B256:B275)+B234</f>
        <v>-3081770.9619167447</v>
      </c>
      <c r="C277" s="11">
        <f t="shared" ref="C277:O277" si="45">SUM(C256:C275)+C234</f>
        <v>-3329271.8422841043</v>
      </c>
      <c r="D277" s="11">
        <f t="shared" si="45"/>
        <v>-3235137.4089829903</v>
      </c>
      <c r="E277" s="11">
        <f t="shared" si="45"/>
        <v>-2581291.3516926561</v>
      </c>
      <c r="F277" s="11">
        <f t="shared" si="45"/>
        <v>-3659588.9370954158</v>
      </c>
      <c r="G277" s="11">
        <f t="shared" si="45"/>
        <v>-3743645.6430860767</v>
      </c>
      <c r="H277" s="11">
        <f t="shared" si="45"/>
        <v>-3491032.8676619479</v>
      </c>
      <c r="I277" s="11">
        <f t="shared" si="45"/>
        <v>-4337195.3413121244</v>
      </c>
      <c r="J277" s="11">
        <f t="shared" si="45"/>
        <v>-4429342.3718385752</v>
      </c>
      <c r="K277" s="11">
        <f t="shared" si="45"/>
        <v>-4437696.8229904082</v>
      </c>
      <c r="L277" s="11">
        <f t="shared" si="45"/>
        <v>-4119601.1241806815</v>
      </c>
      <c r="M277" s="11">
        <f t="shared" si="45"/>
        <v>-4182611.3937934493</v>
      </c>
      <c r="N277" s="11">
        <f t="shared" si="45"/>
        <v>-4195652.3904872676</v>
      </c>
      <c r="O277" s="11">
        <f t="shared" si="45"/>
        <v>-3590821.3877551365</v>
      </c>
    </row>
    <row r="279" spans="1:15">
      <c r="A279" t="s">
        <v>101</v>
      </c>
    </row>
    <row r="280" spans="1:15">
      <c r="A280" t="s">
        <v>100</v>
      </c>
    </row>
    <row r="281" spans="1:15">
      <c r="A281">
        <v>1</v>
      </c>
      <c r="B281" s="11">
        <f t="shared" ref="B281:N281" si="46">-$B$177*B242</f>
        <v>-885413.78800000006</v>
      </c>
      <c r="C281" s="11">
        <f t="shared" si="46"/>
        <v>-844625.76800000016</v>
      </c>
      <c r="D281" s="11">
        <f t="shared" si="46"/>
        <v>-843370.75199999998</v>
      </c>
      <c r="E281" s="11">
        <f t="shared" si="46"/>
        <v>-752382.09200000006</v>
      </c>
      <c r="F281" s="11">
        <f t="shared" si="46"/>
        <v>-800072.70000000007</v>
      </c>
      <c r="G281" s="11">
        <f t="shared" si="46"/>
        <v>-761794.71200000017</v>
      </c>
      <c r="H281" s="11">
        <f t="shared" si="46"/>
        <v>-638175.63600000006</v>
      </c>
      <c r="I281" s="11">
        <f t="shared" si="46"/>
        <v>-716614.13600000006</v>
      </c>
      <c r="J281" s="11">
        <f t="shared" si="46"/>
        <v>-716614.13600000006</v>
      </c>
      <c r="K281" s="11">
        <f t="shared" si="46"/>
        <v>-716614.13600000006</v>
      </c>
      <c r="L281" s="11">
        <f t="shared" si="46"/>
        <v>-601780.17200000002</v>
      </c>
      <c r="M281" s="11">
        <f t="shared" si="46"/>
        <v>-494476.30400000006</v>
      </c>
      <c r="N281" s="11">
        <f t="shared" si="46"/>
        <v>-496358.8280000001</v>
      </c>
      <c r="O281" s="11">
        <f>-$B$177*O242</f>
        <v>-271083.45600000006</v>
      </c>
    </row>
    <row r="282" spans="1:15">
      <c r="A282">
        <v>2</v>
      </c>
      <c r="B282" s="11">
        <f t="shared" ref="B282:I291" si="47">B$281/((1+$B$173)^$A282)</f>
        <v>-834587.4144594213</v>
      </c>
      <c r="C282" s="11">
        <f t="shared" si="47"/>
        <v>-796140.79366575566</v>
      </c>
      <c r="D282" s="11">
        <f t="shared" si="47"/>
        <v>-794957.82071825815</v>
      </c>
      <c r="E282" s="11">
        <f t="shared" si="47"/>
        <v>-709192.28202469612</v>
      </c>
      <c r="F282" s="11">
        <f t="shared" si="47"/>
        <v>-754145.25402959762</v>
      </c>
      <c r="G282" s="11">
        <f t="shared" si="47"/>
        <v>-718064.57913092675</v>
      </c>
      <c r="H282" s="11">
        <f t="shared" si="47"/>
        <v>-601541.74380243197</v>
      </c>
      <c r="I282" s="11">
        <f t="shared" si="47"/>
        <v>-675477.55302102002</v>
      </c>
      <c r="J282" s="11">
        <f t="shared" ref="J282:O291" si="48">J$281/((1+$B$173)^$A282)</f>
        <v>-675477.55302102002</v>
      </c>
      <c r="K282" s="11">
        <f t="shared" si="48"/>
        <v>-675477.55302102002</v>
      </c>
      <c r="L282" s="11">
        <f t="shared" si="48"/>
        <v>-567235.52832500706</v>
      </c>
      <c r="M282" s="11">
        <f t="shared" si="48"/>
        <v>-466091.34131397877</v>
      </c>
      <c r="N282" s="11">
        <f t="shared" si="48"/>
        <v>-467865.80073522491</v>
      </c>
      <c r="O282" s="11">
        <f t="shared" si="48"/>
        <v>-255522.15665944017</v>
      </c>
    </row>
    <row r="283" spans="1:15">
      <c r="A283">
        <v>3</v>
      </c>
      <c r="B283" s="11">
        <f t="shared" si="47"/>
        <v>-810279.04316448665</v>
      </c>
      <c r="C283" s="11">
        <f t="shared" si="47"/>
        <v>-772952.22685995698</v>
      </c>
      <c r="D283" s="11">
        <f t="shared" si="47"/>
        <v>-771803.70943520195</v>
      </c>
      <c r="E283" s="11">
        <f t="shared" si="47"/>
        <v>-688536.19614048162</v>
      </c>
      <c r="F283" s="11">
        <f t="shared" si="47"/>
        <v>-732179.85828116268</v>
      </c>
      <c r="G283" s="11">
        <f t="shared" si="47"/>
        <v>-697150.0768261425</v>
      </c>
      <c r="H283" s="11">
        <f t="shared" si="47"/>
        <v>-584021.110487798</v>
      </c>
      <c r="I283" s="11">
        <f t="shared" si="47"/>
        <v>-655803.4495349708</v>
      </c>
      <c r="J283" s="11">
        <f t="shared" si="48"/>
        <v>-655803.4495349708</v>
      </c>
      <c r="K283" s="11">
        <f t="shared" si="48"/>
        <v>-655803.4495349708</v>
      </c>
      <c r="L283" s="11">
        <f t="shared" si="48"/>
        <v>-550714.10516990977</v>
      </c>
      <c r="M283" s="11">
        <f t="shared" si="48"/>
        <v>-452515.86535337742</v>
      </c>
      <c r="N283" s="11">
        <f t="shared" si="48"/>
        <v>-454238.64149050962</v>
      </c>
      <c r="O283" s="11">
        <f t="shared" si="48"/>
        <v>-248079.76374702927</v>
      </c>
    </row>
    <row r="284" spans="1:15">
      <c r="A284">
        <v>4</v>
      </c>
      <c r="B284" s="11">
        <f t="shared" si="47"/>
        <v>-786678.68268396775</v>
      </c>
      <c r="C284" s="11">
        <f t="shared" si="47"/>
        <v>-750439.05520384177</v>
      </c>
      <c r="D284" s="11">
        <f t="shared" si="47"/>
        <v>-749323.98974291456</v>
      </c>
      <c r="E284" s="11">
        <f t="shared" si="47"/>
        <v>-668481.74382571038</v>
      </c>
      <c r="F284" s="11">
        <f t="shared" si="47"/>
        <v>-710854.23134093476</v>
      </c>
      <c r="G284" s="11">
        <f t="shared" si="47"/>
        <v>-676844.73478266259</v>
      </c>
      <c r="H284" s="11">
        <f t="shared" si="47"/>
        <v>-567010.78688135731</v>
      </c>
      <c r="I284" s="11">
        <f t="shared" si="47"/>
        <v>-636702.37818929215</v>
      </c>
      <c r="J284" s="11">
        <f t="shared" si="48"/>
        <v>-636702.37818929215</v>
      </c>
      <c r="K284" s="11">
        <f t="shared" si="48"/>
        <v>-636702.37818929215</v>
      </c>
      <c r="L284" s="11">
        <f t="shared" si="48"/>
        <v>-534673.88851447555</v>
      </c>
      <c r="M284" s="11">
        <f t="shared" si="48"/>
        <v>-439335.79160522082</v>
      </c>
      <c r="N284" s="11">
        <f t="shared" si="48"/>
        <v>-441008.38979661133</v>
      </c>
      <c r="O284" s="11">
        <f t="shared" si="48"/>
        <v>-240854.13956022263</v>
      </c>
    </row>
    <row r="285" spans="1:15">
      <c r="A285">
        <v>5</v>
      </c>
      <c r="B285" s="11">
        <f t="shared" si="47"/>
        <v>-763765.71134365804</v>
      </c>
      <c r="C285" s="11">
        <f t="shared" si="47"/>
        <v>-728581.6069940211</v>
      </c>
      <c r="D285" s="11">
        <f t="shared" si="47"/>
        <v>-727499.01916787832</v>
      </c>
      <c r="E285" s="11">
        <f t="shared" si="47"/>
        <v>-649011.40177253436</v>
      </c>
      <c r="F285" s="11">
        <f t="shared" si="47"/>
        <v>-690149.73916595604</v>
      </c>
      <c r="G285" s="11">
        <f t="shared" si="47"/>
        <v>-657130.81046860456</v>
      </c>
      <c r="H285" s="11">
        <f t="shared" si="47"/>
        <v>-550495.90959355084</v>
      </c>
      <c r="I285" s="11">
        <f t="shared" si="47"/>
        <v>-618157.6487274681</v>
      </c>
      <c r="J285" s="11">
        <f t="shared" si="48"/>
        <v>-618157.6487274681</v>
      </c>
      <c r="K285" s="11">
        <f t="shared" si="48"/>
        <v>-618157.6487274681</v>
      </c>
      <c r="L285" s="11">
        <f t="shared" si="48"/>
        <v>-519100.86263541318</v>
      </c>
      <c r="M285" s="11">
        <f t="shared" si="48"/>
        <v>-426539.60350021441</v>
      </c>
      <c r="N285" s="11">
        <f t="shared" si="48"/>
        <v>-428163.48523942847</v>
      </c>
      <c r="O285" s="11">
        <f t="shared" si="48"/>
        <v>-233838.9704468181</v>
      </c>
    </row>
    <row r="286" spans="1:15">
      <c r="A286">
        <v>6</v>
      </c>
      <c r="B286" s="11">
        <f t="shared" si="47"/>
        <v>-741520.10810063884</v>
      </c>
      <c r="C286" s="11">
        <f t="shared" si="47"/>
        <v>-707360.78348934092</v>
      </c>
      <c r="D286" s="11">
        <f t="shared" si="47"/>
        <v>-706309.72734745464</v>
      </c>
      <c r="E286" s="11">
        <f t="shared" si="47"/>
        <v>-630108.15706071293</v>
      </c>
      <c r="F286" s="11">
        <f t="shared" si="47"/>
        <v>-670048.29045238451</v>
      </c>
      <c r="G286" s="11">
        <f t="shared" si="47"/>
        <v>-637991.07812485879</v>
      </c>
      <c r="H286" s="11">
        <f t="shared" si="47"/>
        <v>-534462.0481490785</v>
      </c>
      <c r="I286" s="11">
        <f t="shared" si="47"/>
        <v>-600153.0570169593</v>
      </c>
      <c r="J286" s="11">
        <f t="shared" si="48"/>
        <v>-600153.0570169593</v>
      </c>
      <c r="K286" s="11">
        <f t="shared" si="48"/>
        <v>-600153.0570169593</v>
      </c>
      <c r="L286" s="11">
        <f t="shared" si="48"/>
        <v>-503981.42003438174</v>
      </c>
      <c r="M286" s="11">
        <f t="shared" si="48"/>
        <v>-414116.11990312079</v>
      </c>
      <c r="N286" s="11">
        <f t="shared" si="48"/>
        <v>-415692.70411594998</v>
      </c>
      <c r="O286" s="11">
        <f t="shared" si="48"/>
        <v>-227028.12664739619</v>
      </c>
    </row>
    <row r="287" spans="1:15">
      <c r="A287">
        <v>7</v>
      </c>
      <c r="B287" s="11">
        <f t="shared" si="47"/>
        <v>-719922.43504916388</v>
      </c>
      <c r="C287" s="11">
        <f t="shared" si="47"/>
        <v>-686758.04222266097</v>
      </c>
      <c r="D287" s="11">
        <f t="shared" si="47"/>
        <v>-685737.59936646081</v>
      </c>
      <c r="E287" s="11">
        <f t="shared" si="47"/>
        <v>-611755.49229195423</v>
      </c>
      <c r="F287" s="11">
        <f t="shared" si="47"/>
        <v>-650532.32082755771</v>
      </c>
      <c r="G287" s="11">
        <f t="shared" si="47"/>
        <v>-619408.81371345499</v>
      </c>
      <c r="H287" s="11">
        <f t="shared" si="47"/>
        <v>-518895.19237774605</v>
      </c>
      <c r="I287" s="11">
        <f t="shared" si="47"/>
        <v>-582672.87089025171</v>
      </c>
      <c r="J287" s="11">
        <f t="shared" si="48"/>
        <v>-582672.87089025171</v>
      </c>
      <c r="K287" s="11">
        <f t="shared" si="48"/>
        <v>-582672.87089025171</v>
      </c>
      <c r="L287" s="11">
        <f t="shared" si="48"/>
        <v>-489302.34954794339</v>
      </c>
      <c r="M287" s="11">
        <f t="shared" si="48"/>
        <v>-402054.48534283572</v>
      </c>
      <c r="N287" s="11">
        <f t="shared" si="48"/>
        <v>-403585.14962713583</v>
      </c>
      <c r="O287" s="11">
        <f t="shared" si="48"/>
        <v>-220415.6569392196</v>
      </c>
    </row>
    <row r="288" spans="1:15">
      <c r="A288">
        <v>8</v>
      </c>
      <c r="B288" s="11">
        <f t="shared" si="47"/>
        <v>-698953.8204360815</v>
      </c>
      <c r="C288" s="11">
        <f t="shared" si="47"/>
        <v>-666755.38079870003</v>
      </c>
      <c r="D288" s="11">
        <f t="shared" si="47"/>
        <v>-665764.65957908821</v>
      </c>
      <c r="E288" s="11">
        <f t="shared" si="47"/>
        <v>-593937.37115723721</v>
      </c>
      <c r="F288" s="11">
        <f t="shared" si="47"/>
        <v>-631584.77750248334</v>
      </c>
      <c r="G288" s="11">
        <f t="shared" si="47"/>
        <v>-601367.7803043254</v>
      </c>
      <c r="H288" s="11">
        <f t="shared" si="47"/>
        <v>-503781.74017256906</v>
      </c>
      <c r="I288" s="11">
        <f t="shared" si="47"/>
        <v>-565701.81639830268</v>
      </c>
      <c r="J288" s="11">
        <f t="shared" si="48"/>
        <v>-565701.81639830268</v>
      </c>
      <c r="K288" s="11">
        <f t="shared" si="48"/>
        <v>-565701.81639830268</v>
      </c>
      <c r="L288" s="11">
        <f t="shared" si="48"/>
        <v>-475050.82480382861</v>
      </c>
      <c r="M288" s="11">
        <f t="shared" si="48"/>
        <v>-390344.160527025</v>
      </c>
      <c r="N288" s="11">
        <f t="shared" si="48"/>
        <v>-391830.24235644261</v>
      </c>
      <c r="O288" s="11">
        <f t="shared" si="48"/>
        <v>-213995.78343613556</v>
      </c>
    </row>
    <row r="289" spans="1:15">
      <c r="A289">
        <v>9</v>
      </c>
      <c r="B289" s="11">
        <f t="shared" si="47"/>
        <v>-678595.94217095291</v>
      </c>
      <c r="C289" s="11">
        <f t="shared" si="47"/>
        <v>-647335.32116378646</v>
      </c>
      <c r="D289" s="11">
        <f t="shared" si="47"/>
        <v>-646373.45590202732</v>
      </c>
      <c r="E289" s="11">
        <f t="shared" si="47"/>
        <v>-576638.22442450211</v>
      </c>
      <c r="F289" s="11">
        <f t="shared" si="47"/>
        <v>-613189.10437134304</v>
      </c>
      <c r="G289" s="11">
        <f t="shared" si="47"/>
        <v>-583852.21388769452</v>
      </c>
      <c r="H289" s="11">
        <f t="shared" si="47"/>
        <v>-489108.48560443596</v>
      </c>
      <c r="I289" s="11">
        <f t="shared" si="47"/>
        <v>-549225.06446437153</v>
      </c>
      <c r="J289" s="11">
        <f t="shared" si="48"/>
        <v>-549225.06446437153</v>
      </c>
      <c r="K289" s="11">
        <f t="shared" si="48"/>
        <v>-549225.06446437153</v>
      </c>
      <c r="L289" s="11">
        <f t="shared" si="48"/>
        <v>-461214.39301342581</v>
      </c>
      <c r="M289" s="11">
        <f t="shared" si="48"/>
        <v>-378974.91313303396</v>
      </c>
      <c r="N289" s="11">
        <f t="shared" si="48"/>
        <v>-380417.71102567244</v>
      </c>
      <c r="O289" s="11">
        <f t="shared" si="48"/>
        <v>-207762.89653993741</v>
      </c>
    </row>
    <row r="290" spans="1:15">
      <c r="A290">
        <v>10</v>
      </c>
      <c r="B290" s="11">
        <f t="shared" si="47"/>
        <v>-658831.01181645913</v>
      </c>
      <c r="C290" s="11">
        <f t="shared" si="47"/>
        <v>-628480.89433377329</v>
      </c>
      <c r="D290" s="11">
        <f t="shared" si="47"/>
        <v>-627547.04456507508</v>
      </c>
      <c r="E290" s="11">
        <f t="shared" si="47"/>
        <v>-559842.93633446808</v>
      </c>
      <c r="F290" s="11">
        <f t="shared" si="47"/>
        <v>-595329.22754499316</v>
      </c>
      <c r="G290" s="11">
        <f t="shared" si="47"/>
        <v>-566846.80959970341</v>
      </c>
      <c r="H290" s="11">
        <f t="shared" si="47"/>
        <v>-474862.60738294752</v>
      </c>
      <c r="I290" s="11">
        <f t="shared" si="47"/>
        <v>-533228.21792657429</v>
      </c>
      <c r="J290" s="11">
        <f t="shared" si="48"/>
        <v>-533228.21792657429</v>
      </c>
      <c r="K290" s="11">
        <f t="shared" si="48"/>
        <v>-533228.21792657429</v>
      </c>
      <c r="L290" s="11">
        <f t="shared" si="48"/>
        <v>-447780.96409070469</v>
      </c>
      <c r="M290" s="11">
        <f t="shared" si="48"/>
        <v>-367936.80886702327</v>
      </c>
      <c r="N290" s="11">
        <f t="shared" si="48"/>
        <v>-369337.5835200703</v>
      </c>
      <c r="O290" s="11">
        <f t="shared" si="48"/>
        <v>-201711.55003877421</v>
      </c>
    </row>
    <row r="291" spans="1:15">
      <c r="A291">
        <v>11</v>
      </c>
      <c r="B291" s="11">
        <f t="shared" si="47"/>
        <v>-639641.75904510589</v>
      </c>
      <c r="C291" s="11">
        <f t="shared" si="47"/>
        <v>-610175.62556677009</v>
      </c>
      <c r="D291" s="11">
        <f t="shared" si="47"/>
        <v>-609268.97530589812</v>
      </c>
      <c r="E291" s="11">
        <f t="shared" si="47"/>
        <v>-543536.83139268751</v>
      </c>
      <c r="F291" s="11">
        <f t="shared" si="47"/>
        <v>-577989.54130581859</v>
      </c>
      <c r="G291" s="11">
        <f t="shared" si="47"/>
        <v>-550336.70834922662</v>
      </c>
      <c r="H291" s="11">
        <f t="shared" si="47"/>
        <v>-461031.65765334707</v>
      </c>
      <c r="I291" s="11">
        <f t="shared" si="47"/>
        <v>-517697.29895783908</v>
      </c>
      <c r="J291" s="11">
        <f t="shared" si="48"/>
        <v>-517697.29895783908</v>
      </c>
      <c r="K291" s="11">
        <f t="shared" si="48"/>
        <v>-517697.29895783908</v>
      </c>
      <c r="L291" s="11">
        <f t="shared" si="48"/>
        <v>-434738.80008806277</v>
      </c>
      <c r="M291" s="11">
        <f t="shared" si="48"/>
        <v>-357220.20278351771</v>
      </c>
      <c r="N291" s="11">
        <f t="shared" si="48"/>
        <v>-358580.17817482556</v>
      </c>
      <c r="O291" s="11">
        <f t="shared" si="48"/>
        <v>-195836.45634832446</v>
      </c>
    </row>
    <row r="292" spans="1:15">
      <c r="A292">
        <v>12</v>
      </c>
      <c r="B292" s="11">
        <f t="shared" ref="B292:I300" si="49">B$281/((1+$B$173)^$A292)</f>
        <v>-621011.41654864664</v>
      </c>
      <c r="C292" s="11">
        <f t="shared" si="49"/>
        <v>-592403.51996773807</v>
      </c>
      <c r="D292" s="11">
        <f t="shared" si="49"/>
        <v>-591523.27699601767</v>
      </c>
      <c r="E292" s="11">
        <f t="shared" si="49"/>
        <v>-527705.66154629854</v>
      </c>
      <c r="F292" s="11">
        <f t="shared" si="49"/>
        <v>-561154.89447166864</v>
      </c>
      <c r="G292" s="11">
        <f t="shared" si="49"/>
        <v>-534307.48383420066</v>
      </c>
      <c r="H292" s="11">
        <f t="shared" si="49"/>
        <v>-447603.5511197545</v>
      </c>
      <c r="I292" s="11">
        <f t="shared" si="49"/>
        <v>-502618.73685227107</v>
      </c>
      <c r="J292" s="11">
        <f t="shared" ref="J292:O300" si="50">J$281/((1+$B$173)^$A292)</f>
        <v>-502618.73685227107</v>
      </c>
      <c r="K292" s="11">
        <f t="shared" si="50"/>
        <v>-502618.73685227107</v>
      </c>
      <c r="L292" s="11">
        <f t="shared" si="50"/>
        <v>-422076.50493986683</v>
      </c>
      <c r="M292" s="11">
        <f t="shared" si="50"/>
        <v>-346815.73085778422</v>
      </c>
      <c r="N292" s="11">
        <f t="shared" si="50"/>
        <v>-348136.09531536466</v>
      </c>
      <c r="O292" s="11">
        <f t="shared" si="50"/>
        <v>-190132.48189157716</v>
      </c>
    </row>
    <row r="293" spans="1:15">
      <c r="A293">
        <v>13</v>
      </c>
      <c r="B293" s="11">
        <f t="shared" si="49"/>
        <v>-602923.70538703562</v>
      </c>
      <c r="C293" s="11">
        <f t="shared" si="49"/>
        <v>-575149.04851236707</v>
      </c>
      <c r="D293" s="11">
        <f t="shared" si="49"/>
        <v>-574294.44368545408</v>
      </c>
      <c r="E293" s="11">
        <f t="shared" si="49"/>
        <v>-512335.59373427049</v>
      </c>
      <c r="F293" s="11">
        <f t="shared" si="49"/>
        <v>-544810.57715695992</v>
      </c>
      <c r="G293" s="11">
        <f t="shared" si="49"/>
        <v>-518745.12993611716</v>
      </c>
      <c r="H293" s="11">
        <f t="shared" si="49"/>
        <v>-434566.55448519858</v>
      </c>
      <c r="I293" s="11">
        <f t="shared" si="49"/>
        <v>-487979.35616725346</v>
      </c>
      <c r="J293" s="11">
        <f t="shared" si="50"/>
        <v>-487979.35616725346</v>
      </c>
      <c r="K293" s="11">
        <f t="shared" si="50"/>
        <v>-487979.35616725346</v>
      </c>
      <c r="L293" s="11">
        <f t="shared" si="50"/>
        <v>-409783.01450472511</v>
      </c>
      <c r="M293" s="11">
        <f t="shared" si="50"/>
        <v>-336714.30180367402</v>
      </c>
      <c r="N293" s="11">
        <f t="shared" si="50"/>
        <v>-337996.20904404338</v>
      </c>
      <c r="O293" s="11">
        <f t="shared" si="50"/>
        <v>-184594.64261318173</v>
      </c>
    </row>
    <row r="294" spans="1:15">
      <c r="A294">
        <v>14</v>
      </c>
      <c r="B294" s="11">
        <f t="shared" si="49"/>
        <v>-585362.82076411217</v>
      </c>
      <c r="C294" s="11">
        <f t="shared" si="49"/>
        <v>-558397.1344780263</v>
      </c>
      <c r="D294" s="11">
        <f t="shared" si="49"/>
        <v>-557567.42105383892</v>
      </c>
      <c r="E294" s="11">
        <f t="shared" si="49"/>
        <v>-497413.19780026254</v>
      </c>
      <c r="F294" s="11">
        <f t="shared" si="49"/>
        <v>-528942.30791937851</v>
      </c>
      <c r="G294" s="11">
        <f t="shared" si="49"/>
        <v>-503636.04848166707</v>
      </c>
      <c r="H294" s="11">
        <f t="shared" si="49"/>
        <v>-421909.2761992219</v>
      </c>
      <c r="I294" s="11">
        <f t="shared" si="49"/>
        <v>-473766.36521092564</v>
      </c>
      <c r="J294" s="11">
        <f t="shared" si="50"/>
        <v>-473766.36521092564</v>
      </c>
      <c r="K294" s="11">
        <f t="shared" si="50"/>
        <v>-473766.36521092564</v>
      </c>
      <c r="L294" s="11">
        <f t="shared" si="50"/>
        <v>-397847.58689779131</v>
      </c>
      <c r="M294" s="11">
        <f t="shared" si="50"/>
        <v>-326907.08912978059</v>
      </c>
      <c r="N294" s="11">
        <f t="shared" si="50"/>
        <v>-328151.6592660615</v>
      </c>
      <c r="O294" s="11">
        <f t="shared" si="50"/>
        <v>-179218.09962444825</v>
      </c>
    </row>
    <row r="295" spans="1:15">
      <c r="A295">
        <v>15</v>
      </c>
      <c r="B295" s="11">
        <f t="shared" si="49"/>
        <v>-568313.41821758461</v>
      </c>
      <c r="C295" s="11">
        <f t="shared" si="49"/>
        <v>-542133.14026992838</v>
      </c>
      <c r="D295" s="11">
        <f t="shared" si="49"/>
        <v>-541327.59325615421</v>
      </c>
      <c r="E295" s="11">
        <f t="shared" si="49"/>
        <v>-482925.43475753645</v>
      </c>
      <c r="F295" s="11">
        <f t="shared" si="49"/>
        <v>-513536.22128094995</v>
      </c>
      <c r="G295" s="11">
        <f t="shared" si="49"/>
        <v>-488967.03736084182</v>
      </c>
      <c r="H295" s="11">
        <f t="shared" si="49"/>
        <v>-409620.65650409891</v>
      </c>
      <c r="I295" s="11">
        <f t="shared" si="49"/>
        <v>-459967.3448649763</v>
      </c>
      <c r="J295" s="11">
        <f t="shared" si="50"/>
        <v>-459967.3448649763</v>
      </c>
      <c r="K295" s="11">
        <f t="shared" si="50"/>
        <v>-459967.3448649763</v>
      </c>
      <c r="L295" s="11">
        <f t="shared" si="50"/>
        <v>-386259.79310465173</v>
      </c>
      <c r="M295" s="11">
        <f t="shared" si="50"/>
        <v>-317385.5234269714</v>
      </c>
      <c r="N295" s="11">
        <f t="shared" si="50"/>
        <v>-318593.84394763253</v>
      </c>
      <c r="O295" s="11">
        <f t="shared" si="50"/>
        <v>-173998.15497519248</v>
      </c>
    </row>
    <row r="296" spans="1:15">
      <c r="A296">
        <v>16</v>
      </c>
      <c r="B296" s="11">
        <f t="shared" si="49"/>
        <v>-551760.60021124722</v>
      </c>
      <c r="C296" s="11">
        <f t="shared" si="49"/>
        <v>-526342.85463099857</v>
      </c>
      <c r="D296" s="11">
        <f t="shared" si="49"/>
        <v>-525560.77015160618</v>
      </c>
      <c r="E296" s="11">
        <f t="shared" si="49"/>
        <v>-468859.64539566654</v>
      </c>
      <c r="F296" s="11">
        <f t="shared" si="49"/>
        <v>-498578.85561257286</v>
      </c>
      <c r="G296" s="11">
        <f t="shared" si="49"/>
        <v>-474725.27899110864</v>
      </c>
      <c r="H296" s="11">
        <f t="shared" si="49"/>
        <v>-397689.95777096989</v>
      </c>
      <c r="I296" s="11">
        <f t="shared" si="49"/>
        <v>-446570.2377329868</v>
      </c>
      <c r="J296" s="11">
        <f t="shared" si="50"/>
        <v>-446570.2377329868</v>
      </c>
      <c r="K296" s="11">
        <f t="shared" si="50"/>
        <v>-446570.2377329868</v>
      </c>
      <c r="L296" s="11">
        <f t="shared" si="50"/>
        <v>-375009.50786859397</v>
      </c>
      <c r="M296" s="11">
        <f t="shared" si="50"/>
        <v>-308141.28488055483</v>
      </c>
      <c r="N296" s="11">
        <f t="shared" si="50"/>
        <v>-309314.41159964324</v>
      </c>
      <c r="O296" s="11">
        <f t="shared" si="50"/>
        <v>-168930.24754873058</v>
      </c>
    </row>
    <row r="297" spans="1:15">
      <c r="A297">
        <v>17</v>
      </c>
      <c r="B297" s="11">
        <f t="shared" si="49"/>
        <v>-535689.90311771585</v>
      </c>
      <c r="C297" s="11">
        <f t="shared" si="49"/>
        <v>-511012.48022427037</v>
      </c>
      <c r="D297" s="11">
        <f t="shared" si="49"/>
        <v>-510253.17490447196</v>
      </c>
      <c r="E297" s="11">
        <f t="shared" si="49"/>
        <v>-455203.53921909374</v>
      </c>
      <c r="F297" s="11">
        <f t="shared" si="49"/>
        <v>-484057.14137142996</v>
      </c>
      <c r="G297" s="11">
        <f t="shared" si="49"/>
        <v>-460898.32911758119</v>
      </c>
      <c r="H297" s="11">
        <f t="shared" si="49"/>
        <v>-386106.75511744648</v>
      </c>
      <c r="I297" s="11">
        <f t="shared" si="49"/>
        <v>-433563.33760484157</v>
      </c>
      <c r="J297" s="11">
        <f t="shared" si="50"/>
        <v>-433563.33760484157</v>
      </c>
      <c r="K297" s="11">
        <f t="shared" si="50"/>
        <v>-433563.33760484157</v>
      </c>
      <c r="L297" s="11">
        <f t="shared" si="50"/>
        <v>-364086.90084329515</v>
      </c>
      <c r="M297" s="11">
        <f t="shared" si="50"/>
        <v>-299166.29600053868</v>
      </c>
      <c r="N297" s="11">
        <f t="shared" si="50"/>
        <v>-300305.25398023619</v>
      </c>
      <c r="O297" s="11">
        <f t="shared" si="50"/>
        <v>-164009.94907643745</v>
      </c>
    </row>
    <row r="298" spans="1:15">
      <c r="A298">
        <v>18</v>
      </c>
      <c r="B298" s="11">
        <f t="shared" si="49"/>
        <v>-520087.28458030656</v>
      </c>
      <c r="C298" s="11">
        <f t="shared" si="49"/>
        <v>-496128.62157696154</v>
      </c>
      <c r="D298" s="11">
        <f t="shared" si="49"/>
        <v>-495391.43194608926</v>
      </c>
      <c r="E298" s="11">
        <f t="shared" si="49"/>
        <v>-441945.18370785797</v>
      </c>
      <c r="F298" s="11">
        <f t="shared" si="49"/>
        <v>-469958.38968099991</v>
      </c>
      <c r="G298" s="11">
        <f t="shared" si="49"/>
        <v>-447474.10593939922</v>
      </c>
      <c r="H298" s="11">
        <f t="shared" si="49"/>
        <v>-374860.9272984917</v>
      </c>
      <c r="I298" s="11">
        <f t="shared" si="49"/>
        <v>-420935.27922800148</v>
      </c>
      <c r="J298" s="11">
        <f t="shared" si="50"/>
        <v>-420935.27922800148</v>
      </c>
      <c r="K298" s="11">
        <f t="shared" si="50"/>
        <v>-420935.27922800148</v>
      </c>
      <c r="L298" s="11">
        <f t="shared" si="50"/>
        <v>-353482.42800319917</v>
      </c>
      <c r="M298" s="11">
        <f t="shared" si="50"/>
        <v>-290452.71456362976</v>
      </c>
      <c r="N298" s="11">
        <f t="shared" si="50"/>
        <v>-291558.49900993804</v>
      </c>
      <c r="O298" s="11">
        <f t="shared" si="50"/>
        <v>-159232.96026838588</v>
      </c>
    </row>
    <row r="299" spans="1:15">
      <c r="A299">
        <v>19</v>
      </c>
      <c r="B299" s="11">
        <f t="shared" si="49"/>
        <v>-504939.11124301609</v>
      </c>
      <c r="C299" s="11">
        <f t="shared" si="49"/>
        <v>-481678.27337569086</v>
      </c>
      <c r="D299" s="11">
        <f t="shared" si="49"/>
        <v>-480962.55528746534</v>
      </c>
      <c r="E299" s="11">
        <f t="shared" si="49"/>
        <v>-429072.99389112426</v>
      </c>
      <c r="F299" s="11">
        <f t="shared" si="49"/>
        <v>-456270.28124368924</v>
      </c>
      <c r="G299" s="11">
        <f t="shared" si="49"/>
        <v>-434440.87955281476</v>
      </c>
      <c r="H299" s="11">
        <f t="shared" si="49"/>
        <v>-363942.64786261332</v>
      </c>
      <c r="I299" s="11">
        <f t="shared" si="49"/>
        <v>-408675.02837670053</v>
      </c>
      <c r="J299" s="11">
        <f t="shared" si="50"/>
        <v>-408675.02837670053</v>
      </c>
      <c r="K299" s="11">
        <f t="shared" si="50"/>
        <v>-408675.02837670053</v>
      </c>
      <c r="L299" s="11">
        <f t="shared" si="50"/>
        <v>-343186.82330407685</v>
      </c>
      <c r="M299" s="11">
        <f t="shared" si="50"/>
        <v>-281992.9267608056</v>
      </c>
      <c r="N299" s="11">
        <f t="shared" si="50"/>
        <v>-283066.50389314373</v>
      </c>
      <c r="O299" s="11">
        <f t="shared" si="50"/>
        <v>-154595.10705668532</v>
      </c>
    </row>
    <row r="300" spans="1:15">
      <c r="A300">
        <v>20</v>
      </c>
      <c r="B300" s="11">
        <f t="shared" si="49"/>
        <v>-490232.14683787973</v>
      </c>
      <c r="C300" s="11">
        <f t="shared" si="49"/>
        <v>-467648.80910261249</v>
      </c>
      <c r="D300" s="11">
        <f t="shared" si="49"/>
        <v>-466953.93717229646</v>
      </c>
      <c r="E300" s="11">
        <f t="shared" si="49"/>
        <v>-416575.72222439252</v>
      </c>
      <c r="F300" s="11">
        <f t="shared" si="49"/>
        <v>-442980.85557639739</v>
      </c>
      <c r="G300" s="11">
        <f t="shared" si="49"/>
        <v>-421787.26170176192</v>
      </c>
      <c r="H300" s="11">
        <f t="shared" si="49"/>
        <v>-353342.37656564399</v>
      </c>
      <c r="I300" s="11">
        <f t="shared" si="49"/>
        <v>-396771.87221038883</v>
      </c>
      <c r="J300" s="11">
        <f t="shared" si="50"/>
        <v>-396771.87221038883</v>
      </c>
      <c r="K300" s="11">
        <f t="shared" si="50"/>
        <v>-396771.87221038883</v>
      </c>
      <c r="L300" s="11">
        <f t="shared" si="50"/>
        <v>-333191.09058648237</v>
      </c>
      <c r="M300" s="11">
        <f t="shared" si="50"/>
        <v>-273779.54054447147</v>
      </c>
      <c r="N300" s="11">
        <f t="shared" si="50"/>
        <v>-274821.84843994537</v>
      </c>
      <c r="O300" s="11">
        <f t="shared" si="50"/>
        <v>-150092.3369482382</v>
      </c>
    </row>
    <row r="301" spans="1:15">
      <c r="B301" s="11"/>
      <c r="C301" s="11"/>
      <c r="D301" s="11"/>
      <c r="E301" s="11"/>
      <c r="F301" s="11"/>
      <c r="G301" s="11"/>
      <c r="H301" s="11"/>
      <c r="I301" s="11"/>
      <c r="J301" s="11"/>
      <c r="K301" s="11"/>
      <c r="L301" s="11"/>
      <c r="M301" s="11"/>
      <c r="N301" s="11"/>
      <c r="O301" s="11"/>
    </row>
    <row r="302" spans="1:15">
      <c r="A302" t="s">
        <v>225</v>
      </c>
      <c r="B302" s="11">
        <f>SUM(B281:B300)</f>
        <v>-13198510.12317748</v>
      </c>
      <c r="C302" s="11">
        <f t="shared" ref="C302:O302" si="51">SUM(C281:C300)</f>
        <v>-12590499.380437201</v>
      </c>
      <c r="D302" s="11">
        <f t="shared" si="51"/>
        <v>-12571791.357583653</v>
      </c>
      <c r="E302" s="11">
        <f t="shared" si="51"/>
        <v>-11215459.700701486</v>
      </c>
      <c r="F302" s="11">
        <f t="shared" si="51"/>
        <v>-11926364.569136279</v>
      </c>
      <c r="G302" s="11">
        <f t="shared" si="51"/>
        <v>-11355769.872103093</v>
      </c>
      <c r="H302" s="11">
        <f t="shared" si="51"/>
        <v>-9513029.6210287027</v>
      </c>
      <c r="I302" s="11">
        <f t="shared" si="51"/>
        <v>-10682281.049375394</v>
      </c>
      <c r="J302" s="11">
        <f t="shared" si="51"/>
        <v>-10682281.049375394</v>
      </c>
      <c r="K302" s="11">
        <f t="shared" si="51"/>
        <v>-10682281.049375394</v>
      </c>
      <c r="L302" s="11">
        <f t="shared" si="51"/>
        <v>-8970496.958275836</v>
      </c>
      <c r="M302" s="11">
        <f t="shared" si="51"/>
        <v>-7370961.0042975573</v>
      </c>
      <c r="N302" s="11">
        <f t="shared" si="51"/>
        <v>-7399023.0385778788</v>
      </c>
      <c r="O302" s="11">
        <f t="shared" si="51"/>
        <v>-4040932.9363661753</v>
      </c>
    </row>
    <row r="304" spans="1:15">
      <c r="A304" t="s">
        <v>200</v>
      </c>
    </row>
    <row r="305" spans="1:15">
      <c r="A305" t="s">
        <v>100</v>
      </c>
    </row>
    <row r="306" spans="1:15">
      <c r="A306">
        <v>1</v>
      </c>
      <c r="B306" s="11">
        <f t="shared" ref="B306:O306" si="52">-$B$176*B243</f>
        <v>-321518.73052818893</v>
      </c>
      <c r="C306" s="11">
        <f t="shared" si="52"/>
        <v>-324952.31641947903</v>
      </c>
      <c r="D306" s="11">
        <f t="shared" si="52"/>
        <v>-324947.87295442697</v>
      </c>
      <c r="E306" s="11">
        <f t="shared" si="52"/>
        <v>-333607.27486085717</v>
      </c>
      <c r="F306" s="11">
        <f t="shared" si="52"/>
        <v>-329781.95602033578</v>
      </c>
      <c r="G306" s="11">
        <f t="shared" si="52"/>
        <v>-333957.34829067194</v>
      </c>
      <c r="H306" s="11">
        <f t="shared" si="52"/>
        <v>-346695.11053737323</v>
      </c>
      <c r="I306" s="11">
        <f t="shared" si="52"/>
        <v>-339264.32671783416</v>
      </c>
      <c r="J306" s="11">
        <f t="shared" si="52"/>
        <v>-339266.86584072106</v>
      </c>
      <c r="K306" s="11">
        <f t="shared" si="52"/>
        <v>-339265.58814106329</v>
      </c>
      <c r="L306" s="11">
        <f t="shared" si="52"/>
        <v>-351112.8751084056</v>
      </c>
      <c r="M306" s="11">
        <f t="shared" si="52"/>
        <v>-363915.68610265444</v>
      </c>
      <c r="N306" s="11">
        <f t="shared" si="52"/>
        <v>-363790.04021082557</v>
      </c>
      <c r="O306" s="11">
        <f t="shared" si="52"/>
        <v>-391236.21704016812</v>
      </c>
    </row>
    <row r="307" spans="1:15">
      <c r="A307">
        <v>2</v>
      </c>
      <c r="B307" s="11">
        <f t="shared" ref="B307:I316" si="53">B$306/((1+$B$173)^$A307)</f>
        <v>-303062.24010574882</v>
      </c>
      <c r="C307" s="11">
        <f t="shared" si="53"/>
        <v>-306298.72412053827</v>
      </c>
      <c r="D307" s="11">
        <f t="shared" si="53"/>
        <v>-306294.53572855779</v>
      </c>
      <c r="E307" s="11">
        <f t="shared" si="53"/>
        <v>-314456.85254110396</v>
      </c>
      <c r="F307" s="11">
        <f t="shared" si="53"/>
        <v>-310851.1226508962</v>
      </c>
      <c r="G307" s="11">
        <f t="shared" si="53"/>
        <v>-314786.83032394381</v>
      </c>
      <c r="H307" s="11">
        <f t="shared" si="53"/>
        <v>-326793.39290920278</v>
      </c>
      <c r="I307" s="11">
        <f t="shared" si="53"/>
        <v>-319789.16647924797</v>
      </c>
      <c r="J307" s="11">
        <f t="shared" ref="J307:O316" si="54">J$306/((1+$B$173)^$A307)</f>
        <v>-319791.55984609394</v>
      </c>
      <c r="K307" s="11">
        <f t="shared" si="54"/>
        <v>-319790.35549162346</v>
      </c>
      <c r="L307" s="11">
        <f t="shared" si="54"/>
        <v>-330957.55972137395</v>
      </c>
      <c r="M307" s="11">
        <f t="shared" si="54"/>
        <v>-343025.43698996556</v>
      </c>
      <c r="N307" s="11">
        <f t="shared" si="54"/>
        <v>-342907.00368632819</v>
      </c>
      <c r="O307" s="11">
        <f t="shared" si="54"/>
        <v>-368777.65768702811</v>
      </c>
    </row>
    <row r="308" spans="1:15">
      <c r="A308">
        <v>3</v>
      </c>
      <c r="B308" s="11">
        <f t="shared" si="53"/>
        <v>-294235.18456868816</v>
      </c>
      <c r="C308" s="11">
        <f t="shared" si="53"/>
        <v>-297377.40205877501</v>
      </c>
      <c r="D308" s="11">
        <f t="shared" si="53"/>
        <v>-297373.33565879398</v>
      </c>
      <c r="E308" s="11">
        <f t="shared" si="53"/>
        <v>-305297.91508845042</v>
      </c>
      <c r="F308" s="11">
        <f t="shared" si="53"/>
        <v>-301797.20645718079</v>
      </c>
      <c r="G308" s="11">
        <f t="shared" si="53"/>
        <v>-305618.28186790657</v>
      </c>
      <c r="H308" s="11">
        <f t="shared" si="53"/>
        <v>-317275.1387467988</v>
      </c>
      <c r="I308" s="11">
        <f t="shared" si="53"/>
        <v>-310474.91891189123</v>
      </c>
      <c r="J308" s="11">
        <f t="shared" si="54"/>
        <v>-310477.24256902322</v>
      </c>
      <c r="K308" s="11">
        <f t="shared" si="54"/>
        <v>-310476.07329283829</v>
      </c>
      <c r="L308" s="11">
        <f t="shared" si="54"/>
        <v>-321318.019146965</v>
      </c>
      <c r="M308" s="11">
        <f t="shared" si="54"/>
        <v>-333034.40484462673</v>
      </c>
      <c r="N308" s="11">
        <f t="shared" si="54"/>
        <v>-332919.42105468753</v>
      </c>
      <c r="O308" s="11">
        <f t="shared" si="54"/>
        <v>-358036.56086119235</v>
      </c>
    </row>
    <row r="309" spans="1:15">
      <c r="A309">
        <v>4</v>
      </c>
      <c r="B309" s="11">
        <f t="shared" si="53"/>
        <v>-285665.22773659049</v>
      </c>
      <c r="C309" s="11">
        <f t="shared" si="53"/>
        <v>-288715.9243289078</v>
      </c>
      <c r="D309" s="11">
        <f t="shared" si="53"/>
        <v>-288711.97636776115</v>
      </c>
      <c r="E309" s="11">
        <f t="shared" si="53"/>
        <v>-296405.74280432082</v>
      </c>
      <c r="F309" s="11">
        <f t="shared" si="53"/>
        <v>-293006.99656036973</v>
      </c>
      <c r="G309" s="11">
        <f t="shared" si="53"/>
        <v>-296716.77851253067</v>
      </c>
      <c r="H309" s="11">
        <f t="shared" si="53"/>
        <v>-308034.11528815422</v>
      </c>
      <c r="I309" s="11">
        <f t="shared" si="53"/>
        <v>-301431.96010863228</v>
      </c>
      <c r="J309" s="11">
        <f t="shared" si="54"/>
        <v>-301434.21608643036</v>
      </c>
      <c r="K309" s="11">
        <f t="shared" si="54"/>
        <v>-301433.08086683328</v>
      </c>
      <c r="L309" s="11">
        <f t="shared" si="54"/>
        <v>-311959.24189025728</v>
      </c>
      <c r="M309" s="11">
        <f t="shared" si="54"/>
        <v>-323334.37363555998</v>
      </c>
      <c r="N309" s="11">
        <f t="shared" si="54"/>
        <v>-323222.73888804618</v>
      </c>
      <c r="O309" s="11">
        <f t="shared" si="54"/>
        <v>-347608.31151572074</v>
      </c>
    </row>
    <row r="310" spans="1:15">
      <c r="A310">
        <v>5</v>
      </c>
      <c r="B310" s="11">
        <f t="shared" si="53"/>
        <v>-277344.8812976607</v>
      </c>
      <c r="C310" s="11">
        <f t="shared" si="53"/>
        <v>-280306.72264942504</v>
      </c>
      <c r="D310" s="11">
        <f t="shared" si="53"/>
        <v>-280302.88967743807</v>
      </c>
      <c r="E310" s="11">
        <f t="shared" si="53"/>
        <v>-287772.56582943769</v>
      </c>
      <c r="F310" s="11">
        <f t="shared" si="53"/>
        <v>-284472.8121945337</v>
      </c>
      <c r="G310" s="11">
        <f t="shared" si="53"/>
        <v>-288074.54224517546</v>
      </c>
      <c r="H310" s="11">
        <f t="shared" si="53"/>
        <v>-299062.2478525769</v>
      </c>
      <c r="I310" s="11">
        <f t="shared" si="53"/>
        <v>-292652.38845498284</v>
      </c>
      <c r="J310" s="11">
        <f t="shared" si="54"/>
        <v>-292654.57872468967</v>
      </c>
      <c r="K310" s="11">
        <f t="shared" si="54"/>
        <v>-292653.47656974109</v>
      </c>
      <c r="L310" s="11">
        <f t="shared" si="54"/>
        <v>-302873.05037889059</v>
      </c>
      <c r="M310" s="11">
        <f t="shared" si="54"/>
        <v>-313916.86760733981</v>
      </c>
      <c r="N310" s="11">
        <f t="shared" si="54"/>
        <v>-313808.48435732641</v>
      </c>
      <c r="O310" s="11">
        <f t="shared" si="54"/>
        <v>-337483.79758807842</v>
      </c>
    </row>
    <row r="311" spans="1:15">
      <c r="A311">
        <v>6</v>
      </c>
      <c r="B311" s="11">
        <f t="shared" si="53"/>
        <v>-269266.87504627247</v>
      </c>
      <c r="C311" s="11">
        <f t="shared" si="53"/>
        <v>-272142.44917419908</v>
      </c>
      <c r="D311" s="11">
        <f t="shared" si="53"/>
        <v>-272138.72784217284</v>
      </c>
      <c r="E311" s="11">
        <f t="shared" si="53"/>
        <v>-279390.84061110456</v>
      </c>
      <c r="F311" s="11">
        <f t="shared" si="53"/>
        <v>-276187.19630537252</v>
      </c>
      <c r="G311" s="11">
        <f t="shared" si="53"/>
        <v>-279684.0215972577</v>
      </c>
      <c r="H311" s="11">
        <f t="shared" si="53"/>
        <v>-290351.69694424944</v>
      </c>
      <c r="I311" s="11">
        <f t="shared" si="53"/>
        <v>-284128.53248056583</v>
      </c>
      <c r="J311" s="11">
        <f t="shared" si="54"/>
        <v>-284130.65895600937</v>
      </c>
      <c r="K311" s="11">
        <f t="shared" si="54"/>
        <v>-284129.58890266123</v>
      </c>
      <c r="L311" s="11">
        <f t="shared" si="54"/>
        <v>-294051.50522222387</v>
      </c>
      <c r="M311" s="11">
        <f t="shared" si="54"/>
        <v>-304773.65787120367</v>
      </c>
      <c r="N311" s="11">
        <f t="shared" si="54"/>
        <v>-304668.43141487997</v>
      </c>
      <c r="O311" s="11">
        <f t="shared" si="54"/>
        <v>-327654.17241561011</v>
      </c>
    </row>
    <row r="312" spans="1:15">
      <c r="A312">
        <v>7</v>
      </c>
      <c r="B312" s="11">
        <f t="shared" si="53"/>
        <v>-261424.15053036163</v>
      </c>
      <c r="C312" s="11">
        <f t="shared" si="53"/>
        <v>-264215.97007203789</v>
      </c>
      <c r="D312" s="11">
        <f t="shared" si="53"/>
        <v>-264212.35712832311</v>
      </c>
      <c r="E312" s="11">
        <f t="shared" si="53"/>
        <v>-271253.24331175198</v>
      </c>
      <c r="F312" s="11">
        <f t="shared" si="53"/>
        <v>-268142.90903434221</v>
      </c>
      <c r="G312" s="11">
        <f t="shared" si="53"/>
        <v>-271537.88504588121</v>
      </c>
      <c r="H312" s="11">
        <f t="shared" si="53"/>
        <v>-281894.85140218388</v>
      </c>
      <c r="I312" s="11">
        <f t="shared" si="53"/>
        <v>-275852.94415588916</v>
      </c>
      <c r="J312" s="11">
        <f t="shared" si="54"/>
        <v>-275855.00869515474</v>
      </c>
      <c r="K312" s="11">
        <f t="shared" si="54"/>
        <v>-275853.96980840893</v>
      </c>
      <c r="L312" s="11">
        <f t="shared" si="54"/>
        <v>-285486.8982740037</v>
      </c>
      <c r="M312" s="11">
        <f t="shared" si="54"/>
        <v>-295896.75521476084</v>
      </c>
      <c r="N312" s="11">
        <f t="shared" si="54"/>
        <v>-295794.59360667958</v>
      </c>
      <c r="O312" s="11">
        <f t="shared" si="54"/>
        <v>-318110.84700544667</v>
      </c>
    </row>
    <row r="313" spans="1:15">
      <c r="A313">
        <v>8</v>
      </c>
      <c r="B313" s="11">
        <f t="shared" si="53"/>
        <v>-253809.85488384627</v>
      </c>
      <c r="C313" s="11">
        <f t="shared" si="53"/>
        <v>-256520.35929324073</v>
      </c>
      <c r="D313" s="11">
        <f t="shared" si="53"/>
        <v>-256516.85158089627</v>
      </c>
      <c r="E313" s="11">
        <f t="shared" si="53"/>
        <v>-263352.66340946796</v>
      </c>
      <c r="F313" s="11">
        <f t="shared" si="53"/>
        <v>-260332.9213925653</v>
      </c>
      <c r="G313" s="11">
        <f t="shared" si="53"/>
        <v>-263629.01460765168</v>
      </c>
      <c r="H313" s="11">
        <f t="shared" si="53"/>
        <v>-273684.32174969313</v>
      </c>
      <c r="I313" s="11">
        <f t="shared" si="53"/>
        <v>-267818.39238435839</v>
      </c>
      <c r="J313" s="11">
        <f t="shared" si="54"/>
        <v>-267820.39679141238</v>
      </c>
      <c r="K313" s="11">
        <f t="shared" si="54"/>
        <v>-267819.38816350384</v>
      </c>
      <c r="L313" s="11">
        <f t="shared" si="54"/>
        <v>-277171.74589709105</v>
      </c>
      <c r="M313" s="11">
        <f t="shared" si="54"/>
        <v>-287278.40312112705</v>
      </c>
      <c r="N313" s="11">
        <f t="shared" si="54"/>
        <v>-287179.2170938637</v>
      </c>
      <c r="O313" s="11">
        <f t="shared" si="54"/>
        <v>-308845.48252955993</v>
      </c>
    </row>
    <row r="314" spans="1:15">
      <c r="A314">
        <v>9</v>
      </c>
      <c r="B314" s="11">
        <f t="shared" si="53"/>
        <v>-246417.3348386857</v>
      </c>
      <c r="C314" s="11">
        <f t="shared" si="53"/>
        <v>-249048.89251770944</v>
      </c>
      <c r="D314" s="11">
        <f t="shared" si="53"/>
        <v>-249045.48697174396</v>
      </c>
      <c r="E314" s="11">
        <f t="shared" si="53"/>
        <v>-255682.19748492035</v>
      </c>
      <c r="F314" s="11">
        <f t="shared" si="53"/>
        <v>-252750.40911899545</v>
      </c>
      <c r="G314" s="11">
        <f t="shared" si="53"/>
        <v>-255950.49961907932</v>
      </c>
      <c r="H314" s="11">
        <f t="shared" si="53"/>
        <v>-265712.93373756611</v>
      </c>
      <c r="I314" s="11">
        <f t="shared" si="53"/>
        <v>-260017.8566838431</v>
      </c>
      <c r="J314" s="11">
        <f t="shared" si="54"/>
        <v>-260019.8027101091</v>
      </c>
      <c r="K314" s="11">
        <f t="shared" si="54"/>
        <v>-260018.82345971247</v>
      </c>
      <c r="L314" s="11">
        <f t="shared" si="54"/>
        <v>-269098.78242436022</v>
      </c>
      <c r="M314" s="11">
        <f t="shared" si="54"/>
        <v>-278911.07099138544</v>
      </c>
      <c r="N314" s="11">
        <f t="shared" si="54"/>
        <v>-278814.77387753758</v>
      </c>
      <c r="O314" s="11">
        <f t="shared" si="54"/>
        <v>-299849.98303840769</v>
      </c>
    </row>
    <row r="315" spans="1:15">
      <c r="A315">
        <v>10</v>
      </c>
      <c r="B315" s="11">
        <f t="shared" si="53"/>
        <v>-239240.13091134533</v>
      </c>
      <c r="C315" s="11">
        <f t="shared" si="53"/>
        <v>-241795.04127932954</v>
      </c>
      <c r="D315" s="11">
        <f t="shared" si="53"/>
        <v>-241791.73492402324</v>
      </c>
      <c r="E315" s="11">
        <f t="shared" si="53"/>
        <v>-248235.14318924307</v>
      </c>
      <c r="F315" s="11">
        <f t="shared" si="53"/>
        <v>-245388.74671747131</v>
      </c>
      <c r="G315" s="11">
        <f t="shared" si="53"/>
        <v>-248495.63069813527</v>
      </c>
      <c r="H315" s="11">
        <f t="shared" si="53"/>
        <v>-257973.72207530693</v>
      </c>
      <c r="I315" s="11">
        <f t="shared" si="53"/>
        <v>-252444.52105227485</v>
      </c>
      <c r="J315" s="11">
        <f t="shared" si="54"/>
        <v>-252446.41039816418</v>
      </c>
      <c r="K315" s="11">
        <f t="shared" si="54"/>
        <v>-252445.45966962376</v>
      </c>
      <c r="L315" s="11">
        <f t="shared" si="54"/>
        <v>-261260.95381005845</v>
      </c>
      <c r="M315" s="11">
        <f t="shared" si="54"/>
        <v>-270787.4475644519</v>
      </c>
      <c r="N315" s="11">
        <f t="shared" si="54"/>
        <v>-270693.95522091025</v>
      </c>
      <c r="O315" s="11">
        <f t="shared" si="54"/>
        <v>-291116.48838680354</v>
      </c>
    </row>
    <row r="316" spans="1:15">
      <c r="A316">
        <v>11</v>
      </c>
      <c r="B316" s="11">
        <f t="shared" si="53"/>
        <v>-232271.97175858769</v>
      </c>
      <c r="C316" s="11">
        <f t="shared" si="53"/>
        <v>-234752.467261485</v>
      </c>
      <c r="D316" s="11">
        <f t="shared" si="53"/>
        <v>-234749.25720778955</v>
      </c>
      <c r="E316" s="11">
        <f t="shared" si="53"/>
        <v>-241004.99338761461</v>
      </c>
      <c r="F316" s="11">
        <f t="shared" si="53"/>
        <v>-238241.50166744785</v>
      </c>
      <c r="G316" s="11">
        <f t="shared" si="53"/>
        <v>-241257.89388168472</v>
      </c>
      <c r="H316" s="11">
        <f t="shared" si="53"/>
        <v>-250459.92434495818</v>
      </c>
      <c r="I316" s="11">
        <f t="shared" si="53"/>
        <v>-245091.76801191733</v>
      </c>
      <c r="J316" s="11">
        <f t="shared" si="54"/>
        <v>-245093.60232831474</v>
      </c>
      <c r="K316" s="11">
        <f t="shared" si="54"/>
        <v>-245092.67929089686</v>
      </c>
      <c r="L316" s="11">
        <f t="shared" si="54"/>
        <v>-253651.41146607616</v>
      </c>
      <c r="M316" s="11">
        <f t="shared" si="54"/>
        <v>-262900.43452859408</v>
      </c>
      <c r="N316" s="11">
        <f t="shared" si="54"/>
        <v>-262809.66526301968</v>
      </c>
      <c r="O316" s="11">
        <f t="shared" si="54"/>
        <v>-282637.36736582872</v>
      </c>
    </row>
    <row r="317" spans="1:15">
      <c r="A317">
        <v>12</v>
      </c>
      <c r="B317" s="11">
        <f t="shared" ref="B317:I325" si="55">B$306/((1+$B$173)^$A317)</f>
        <v>-225506.768697658</v>
      </c>
      <c r="C317" s="11">
        <f t="shared" si="55"/>
        <v>-227915.01675872333</v>
      </c>
      <c r="D317" s="11">
        <f t="shared" si="55"/>
        <v>-227911.90020173747</v>
      </c>
      <c r="E317" s="11">
        <f t="shared" si="55"/>
        <v>-233985.4304734123</v>
      </c>
      <c r="F317" s="11">
        <f t="shared" si="55"/>
        <v>-231302.42880334746</v>
      </c>
      <c r="G317" s="11">
        <f t="shared" si="55"/>
        <v>-234230.96493367452</v>
      </c>
      <c r="H317" s="11">
        <f t="shared" si="55"/>
        <v>-243164.97509219244</v>
      </c>
      <c r="I317" s="11">
        <f t="shared" si="55"/>
        <v>-237953.17282710425</v>
      </c>
      <c r="J317" s="11">
        <f t="shared" ref="J317:O325" si="56">J$306/((1+$B$173)^$A317)</f>
        <v>-237954.95371681044</v>
      </c>
      <c r="K317" s="11">
        <f t="shared" si="56"/>
        <v>-237954.05756397755</v>
      </c>
      <c r="L317" s="11">
        <f t="shared" si="56"/>
        <v>-246263.50627774387</v>
      </c>
      <c r="M317" s="11">
        <f t="shared" si="56"/>
        <v>-255243.14031902343</v>
      </c>
      <c r="N317" s="11">
        <f t="shared" si="56"/>
        <v>-255155.01481846574</v>
      </c>
      <c r="O317" s="11">
        <f t="shared" si="56"/>
        <v>-274405.2110347852</v>
      </c>
    </row>
    <row r="318" spans="1:15">
      <c r="A318">
        <v>13</v>
      </c>
      <c r="B318" s="11">
        <f t="shared" si="55"/>
        <v>-218938.61038607571</v>
      </c>
      <c r="C318" s="11">
        <f t="shared" si="55"/>
        <v>-221276.71529973138</v>
      </c>
      <c r="D318" s="11">
        <f t="shared" si="55"/>
        <v>-221273.68951624999</v>
      </c>
      <c r="E318" s="11">
        <f t="shared" si="55"/>
        <v>-227170.32084797311</v>
      </c>
      <c r="F318" s="11">
        <f t="shared" si="55"/>
        <v>-224565.46485761891</v>
      </c>
      <c r="G318" s="11">
        <f t="shared" si="55"/>
        <v>-227408.70381910147</v>
      </c>
      <c r="H318" s="11">
        <f t="shared" si="55"/>
        <v>-236082.50008950723</v>
      </c>
      <c r="I318" s="11">
        <f t="shared" si="55"/>
        <v>-231022.49789039249</v>
      </c>
      <c r="J318" s="11">
        <f t="shared" si="56"/>
        <v>-231024.22690952473</v>
      </c>
      <c r="K318" s="11">
        <f t="shared" si="56"/>
        <v>-231023.35685823066</v>
      </c>
      <c r="L318" s="11">
        <f t="shared" si="56"/>
        <v>-239090.7827939261</v>
      </c>
      <c r="M318" s="11">
        <f t="shared" si="56"/>
        <v>-247808.87409613925</v>
      </c>
      <c r="N318" s="11">
        <f t="shared" si="56"/>
        <v>-247723.31535773375</v>
      </c>
      <c r="O318" s="11">
        <f t="shared" si="56"/>
        <v>-266412.82624736428</v>
      </c>
    </row>
    <row r="319" spans="1:15">
      <c r="A319">
        <v>14</v>
      </c>
      <c r="B319" s="11">
        <f t="shared" si="55"/>
        <v>-212561.75765638417</v>
      </c>
      <c r="C319" s="11">
        <f t="shared" si="55"/>
        <v>-214831.76242692367</v>
      </c>
      <c r="D319" s="11">
        <f t="shared" si="55"/>
        <v>-214828.82477305821</v>
      </c>
      <c r="E319" s="11">
        <f t="shared" si="55"/>
        <v>-220553.70956113891</v>
      </c>
      <c r="F319" s="11">
        <f t="shared" si="55"/>
        <v>-218024.72316273677</v>
      </c>
      <c r="G319" s="11">
        <f t="shared" si="55"/>
        <v>-220785.14933893346</v>
      </c>
      <c r="H319" s="11">
        <f t="shared" si="55"/>
        <v>-229206.31076651186</v>
      </c>
      <c r="I319" s="11">
        <f t="shared" si="55"/>
        <v>-224293.68727222568</v>
      </c>
      <c r="J319" s="11">
        <f t="shared" si="56"/>
        <v>-224295.36593157737</v>
      </c>
      <c r="K319" s="11">
        <f t="shared" si="56"/>
        <v>-224294.52122158313</v>
      </c>
      <c r="L319" s="11">
        <f t="shared" si="56"/>
        <v>-232126.97358633601</v>
      </c>
      <c r="M319" s="11">
        <f t="shared" si="56"/>
        <v>-240591.13989916429</v>
      </c>
      <c r="N319" s="11">
        <f t="shared" si="56"/>
        <v>-240508.07316284828</v>
      </c>
      <c r="O319" s="11">
        <f t="shared" si="56"/>
        <v>-258653.22936637304</v>
      </c>
    </row>
    <row r="320" spans="1:15">
      <c r="A320">
        <v>15</v>
      </c>
      <c r="B320" s="11">
        <f t="shared" si="55"/>
        <v>-206370.63850134384</v>
      </c>
      <c r="C320" s="11">
        <f t="shared" si="55"/>
        <v>-208574.52662808122</v>
      </c>
      <c r="D320" s="11">
        <f t="shared" si="55"/>
        <v>-208571.67453694969</v>
      </c>
      <c r="E320" s="11">
        <f t="shared" si="55"/>
        <v>-214129.81510790184</v>
      </c>
      <c r="F320" s="11">
        <f t="shared" si="55"/>
        <v>-211674.48850751144</v>
      </c>
      <c r="G320" s="11">
        <f t="shared" si="55"/>
        <v>-214354.51392129459</v>
      </c>
      <c r="H320" s="11">
        <f t="shared" si="55"/>
        <v>-222530.39880243866</v>
      </c>
      <c r="I320" s="11">
        <f t="shared" si="55"/>
        <v>-217760.8614293453</v>
      </c>
      <c r="J320" s="11">
        <f t="shared" si="56"/>
        <v>-217762.49119570618</v>
      </c>
      <c r="K320" s="11">
        <f t="shared" si="56"/>
        <v>-217761.67108891564</v>
      </c>
      <c r="L320" s="11">
        <f t="shared" si="56"/>
        <v>-225365.99377314173</v>
      </c>
      <c r="M320" s="11">
        <f t="shared" si="56"/>
        <v>-233583.6309700624</v>
      </c>
      <c r="N320" s="11">
        <f t="shared" si="56"/>
        <v>-233502.98365325073</v>
      </c>
      <c r="O320" s="11">
        <f t="shared" si="56"/>
        <v>-251119.6401615272</v>
      </c>
    </row>
    <row r="321" spans="1:15">
      <c r="A321">
        <v>16</v>
      </c>
      <c r="B321" s="11">
        <f t="shared" si="55"/>
        <v>-200359.84320518823</v>
      </c>
      <c r="C321" s="11">
        <f t="shared" si="55"/>
        <v>-202499.54041561286</v>
      </c>
      <c r="D321" s="11">
        <f t="shared" si="55"/>
        <v>-202496.77139509685</v>
      </c>
      <c r="E321" s="11">
        <f t="shared" si="55"/>
        <v>-207893.02437660377</v>
      </c>
      <c r="F321" s="11">
        <f t="shared" si="55"/>
        <v>-205509.21214321503</v>
      </c>
      <c r="G321" s="11">
        <f t="shared" si="55"/>
        <v>-208111.17856436374</v>
      </c>
      <c r="H321" s="11">
        <f t="shared" si="55"/>
        <v>-216048.9308761541</v>
      </c>
      <c r="I321" s="11">
        <f t="shared" si="55"/>
        <v>-211418.31206732558</v>
      </c>
      <c r="J321" s="11">
        <f t="shared" si="56"/>
        <v>-211419.89436476331</v>
      </c>
      <c r="K321" s="11">
        <f t="shared" si="56"/>
        <v>-211419.09814457834</v>
      </c>
      <c r="L321" s="11">
        <f t="shared" si="56"/>
        <v>-218801.93570207941</v>
      </c>
      <c r="M321" s="11">
        <f t="shared" si="56"/>
        <v>-226780.22424277908</v>
      </c>
      <c r="N321" s="11">
        <f t="shared" si="56"/>
        <v>-226701.92587694249</v>
      </c>
      <c r="O321" s="11">
        <f t="shared" si="56"/>
        <v>-243805.47588497793</v>
      </c>
    </row>
    <row r="322" spans="1:15">
      <c r="A322">
        <v>17</v>
      </c>
      <c r="B322" s="11">
        <f t="shared" si="55"/>
        <v>-194524.11961668762</v>
      </c>
      <c r="C322" s="11">
        <f t="shared" si="55"/>
        <v>-196601.49554913869</v>
      </c>
      <c r="D322" s="11">
        <f t="shared" si="55"/>
        <v>-196598.80717970568</v>
      </c>
      <c r="E322" s="11">
        <f t="shared" si="55"/>
        <v>-201837.8877442755</v>
      </c>
      <c r="F322" s="11">
        <f t="shared" si="55"/>
        <v>-199523.5069351602</v>
      </c>
      <c r="G322" s="11">
        <f t="shared" si="55"/>
        <v>-202049.68792656672</v>
      </c>
      <c r="H322" s="11">
        <f t="shared" si="55"/>
        <v>-209756.24356908165</v>
      </c>
      <c r="I322" s="11">
        <f t="shared" si="55"/>
        <v>-205260.49715274328</v>
      </c>
      <c r="J322" s="11">
        <f t="shared" si="56"/>
        <v>-205262.03336384788</v>
      </c>
      <c r="K322" s="11">
        <f t="shared" si="56"/>
        <v>-205261.26033454208</v>
      </c>
      <c r="L322" s="11">
        <f t="shared" si="56"/>
        <v>-212429.0637884266</v>
      </c>
      <c r="M322" s="11">
        <f t="shared" si="56"/>
        <v>-220174.97499298939</v>
      </c>
      <c r="N322" s="11">
        <f t="shared" si="56"/>
        <v>-220098.9571620801</v>
      </c>
      <c r="O322" s="11">
        <f t="shared" si="56"/>
        <v>-236704.34551939604</v>
      </c>
    </row>
    <row r="323" spans="1:15">
      <c r="A323">
        <v>18</v>
      </c>
      <c r="B323" s="11">
        <f t="shared" si="55"/>
        <v>-188858.36855989089</v>
      </c>
      <c r="C323" s="11">
        <f t="shared" si="55"/>
        <v>-190875.23839722204</v>
      </c>
      <c r="D323" s="11">
        <f t="shared" si="55"/>
        <v>-190872.62832981133</v>
      </c>
      <c r="E323" s="11">
        <f t="shared" si="55"/>
        <v>-195959.11431483057</v>
      </c>
      <c r="F323" s="11">
        <f t="shared" si="55"/>
        <v>-193712.14265549535</v>
      </c>
      <c r="G323" s="11">
        <f t="shared" si="55"/>
        <v>-196164.74555977352</v>
      </c>
      <c r="H323" s="11">
        <f t="shared" si="55"/>
        <v>-203646.83841658413</v>
      </c>
      <c r="I323" s="11">
        <f t="shared" si="55"/>
        <v>-199282.03607062454</v>
      </c>
      <c r="J323" s="11">
        <f t="shared" si="56"/>
        <v>-199283.52753771638</v>
      </c>
      <c r="K323" s="11">
        <f t="shared" si="56"/>
        <v>-199282.77702382725</v>
      </c>
      <c r="L323" s="11">
        <f t="shared" si="56"/>
        <v>-206241.8095033268</v>
      </c>
      <c r="M323" s="11">
        <f t="shared" si="56"/>
        <v>-213762.11164367903</v>
      </c>
      <c r="N323" s="11">
        <f t="shared" si="56"/>
        <v>-213688.30792434959</v>
      </c>
      <c r="O323" s="11">
        <f t="shared" si="56"/>
        <v>-229810.04419358837</v>
      </c>
    </row>
    <row r="324" spans="1:15">
      <c r="A324">
        <v>19</v>
      </c>
      <c r="B324" s="11">
        <f t="shared" si="55"/>
        <v>-183357.63937853483</v>
      </c>
      <c r="C324" s="11">
        <f t="shared" si="55"/>
        <v>-185315.76543419616</v>
      </c>
      <c r="D324" s="11">
        <f t="shared" si="55"/>
        <v>-185313.23138816634</v>
      </c>
      <c r="E324" s="11">
        <f t="shared" si="55"/>
        <v>-190251.56729595203</v>
      </c>
      <c r="F324" s="11">
        <f t="shared" si="55"/>
        <v>-188070.0414131023</v>
      </c>
      <c r="G324" s="11">
        <f t="shared" si="55"/>
        <v>-190451.20928133352</v>
      </c>
      <c r="H324" s="11">
        <f t="shared" si="55"/>
        <v>-197715.37710347972</v>
      </c>
      <c r="I324" s="11">
        <f t="shared" si="55"/>
        <v>-193477.70492293645</v>
      </c>
      <c r="J324" s="11">
        <f t="shared" si="56"/>
        <v>-193479.15294923921</v>
      </c>
      <c r="K324" s="11">
        <f t="shared" si="56"/>
        <v>-193478.42429497791</v>
      </c>
      <c r="L324" s="11">
        <f t="shared" si="56"/>
        <v>-200234.76650808426</v>
      </c>
      <c r="M324" s="11">
        <f t="shared" si="56"/>
        <v>-207536.03072201848</v>
      </c>
      <c r="N324" s="11">
        <f t="shared" si="56"/>
        <v>-207464.37662558214</v>
      </c>
      <c r="O324" s="11">
        <f t="shared" si="56"/>
        <v>-223116.54776076542</v>
      </c>
    </row>
    <row r="325" spans="1:15">
      <c r="A325">
        <v>20</v>
      </c>
      <c r="B325" s="11">
        <f t="shared" si="55"/>
        <v>-178017.12561022802</v>
      </c>
      <c r="C325" s="11">
        <f t="shared" si="55"/>
        <v>-179918.2188681516</v>
      </c>
      <c r="D325" s="11">
        <f t="shared" si="55"/>
        <v>-179915.75862928771</v>
      </c>
      <c r="E325" s="11">
        <f t="shared" si="55"/>
        <v>-184710.25951063304</v>
      </c>
      <c r="F325" s="11">
        <f t="shared" si="55"/>
        <v>-182592.27321660417</v>
      </c>
      <c r="G325" s="11">
        <f t="shared" si="55"/>
        <v>-184904.08668090633</v>
      </c>
      <c r="H325" s="11">
        <f t="shared" si="55"/>
        <v>-191956.67679949489</v>
      </c>
      <c r="I325" s="11">
        <f t="shared" si="55"/>
        <v>-187842.431964016</v>
      </c>
      <c r="J325" s="11">
        <f t="shared" si="56"/>
        <v>-187843.83781479535</v>
      </c>
      <c r="K325" s="11">
        <f t="shared" si="56"/>
        <v>-187843.1303834737</v>
      </c>
      <c r="L325" s="11">
        <f t="shared" si="56"/>
        <v>-194402.68593017891</v>
      </c>
      <c r="M325" s="11">
        <f t="shared" si="56"/>
        <v>-201491.29196312474</v>
      </c>
      <c r="N325" s="11">
        <f t="shared" si="56"/>
        <v>-201421.72487920595</v>
      </c>
      <c r="O325" s="11">
        <f t="shared" si="56"/>
        <v>-216618.00753472373</v>
      </c>
    </row>
    <row r="327" spans="1:15">
      <c r="A327" t="s">
        <v>226</v>
      </c>
      <c r="B327" s="11">
        <f>SUM(B306:B325)</f>
        <v>-4792751.4538179664</v>
      </c>
      <c r="C327" s="11">
        <f t="shared" ref="C327:O327" si="57">SUM(C306:C325)</f>
        <v>-4843934.5489529073</v>
      </c>
      <c r="D327" s="11">
        <f t="shared" si="57"/>
        <v>-4843868.3119919896</v>
      </c>
      <c r="E327" s="11">
        <f t="shared" si="57"/>
        <v>-4972950.5617509941</v>
      </c>
      <c r="F327" s="11">
        <f t="shared" si="57"/>
        <v>-4915928.0598143023</v>
      </c>
      <c r="G327" s="11">
        <f t="shared" si="57"/>
        <v>-4978168.9667158667</v>
      </c>
      <c r="H327" s="11">
        <f t="shared" si="57"/>
        <v>-5168045.7071035085</v>
      </c>
      <c r="I327" s="11">
        <f t="shared" si="57"/>
        <v>-5057277.9770381497</v>
      </c>
      <c r="J327" s="11">
        <f t="shared" si="57"/>
        <v>-5057315.8267301051</v>
      </c>
      <c r="K327" s="11">
        <f t="shared" si="57"/>
        <v>-5057296.7805710128</v>
      </c>
      <c r="L327" s="11">
        <f t="shared" si="57"/>
        <v>-5233899.5612029498</v>
      </c>
      <c r="M327" s="11">
        <f t="shared" si="57"/>
        <v>-5424745.9573206501</v>
      </c>
      <c r="N327" s="11">
        <f t="shared" si="57"/>
        <v>-5422873.0041345647</v>
      </c>
      <c r="O327" s="11">
        <f t="shared" si="57"/>
        <v>-5832002.2131373454</v>
      </c>
    </row>
    <row r="329" spans="1:15">
      <c r="A329" t="s">
        <v>227</v>
      </c>
      <c r="B329" s="11">
        <f t="shared" ref="B329:O329" si="58">B327+B302+B223+$B$220+$B$219+B277+B249+B250+B225</f>
        <v>-21591465.955834869</v>
      </c>
      <c r="C329" s="11">
        <f t="shared" si="58"/>
        <v>-21895351.050299283</v>
      </c>
      <c r="D329" s="11">
        <f t="shared" si="58"/>
        <v>-21902442.357183702</v>
      </c>
      <c r="E329" s="11">
        <f t="shared" si="58"/>
        <v>-20238135.031067811</v>
      </c>
      <c r="F329" s="11">
        <f t="shared" si="58"/>
        <v>-22196738.706373457</v>
      </c>
      <c r="G329" s="11">
        <f t="shared" si="58"/>
        <v>-22335653.483934887</v>
      </c>
      <c r="H329" s="11">
        <f t="shared" si="58"/>
        <v>-21380177.197824012</v>
      </c>
      <c r="I329" s="11">
        <f t="shared" si="58"/>
        <v>-23461247.093160305</v>
      </c>
      <c r="J329" s="11">
        <f t="shared" si="58"/>
        <v>-23638431.97337871</v>
      </c>
      <c r="K329" s="11">
        <f t="shared" si="58"/>
        <v>-23681767.378371447</v>
      </c>
      <c r="L329" s="11">
        <f t="shared" si="58"/>
        <v>-22658490.369094104</v>
      </c>
      <c r="M329" s="11">
        <f t="shared" si="58"/>
        <v>-22012811.080846291</v>
      </c>
      <c r="N329" s="11">
        <f t="shared" si="58"/>
        <v>-22172041.158634346</v>
      </c>
      <c r="O329" s="11">
        <f t="shared" si="58"/>
        <v>-19471825.53928851</v>
      </c>
    </row>
    <row r="330" spans="1:15">
      <c r="A330" t="s">
        <v>233</v>
      </c>
      <c r="B330" s="11">
        <f t="shared" ref="B330:O330" si="59">B329-$B$184</f>
        <v>-21163467128.745316</v>
      </c>
      <c r="C330" s="11">
        <f t="shared" si="59"/>
        <v>-21163771013.839783</v>
      </c>
      <c r="D330" s="11">
        <f t="shared" si="59"/>
        <v>-21163778105.146667</v>
      </c>
      <c r="E330" s="11">
        <f t="shared" si="59"/>
        <v>-21162113797.820549</v>
      </c>
      <c r="F330" s="11">
        <f t="shared" si="59"/>
        <v>-21164072401.495857</v>
      </c>
      <c r="G330" s="11">
        <f t="shared" si="59"/>
        <v>-21164211316.273418</v>
      </c>
      <c r="H330" s="11">
        <f t="shared" si="59"/>
        <v>-21163255839.987305</v>
      </c>
      <c r="I330" s="11">
        <f t="shared" si="59"/>
        <v>-21165336909.882641</v>
      </c>
      <c r="J330" s="11">
        <f t="shared" si="59"/>
        <v>-21165514094.762859</v>
      </c>
      <c r="K330" s="11">
        <f t="shared" si="59"/>
        <v>-21165557430.167854</v>
      </c>
      <c r="L330" s="11">
        <f t="shared" si="59"/>
        <v>-21164534153.158577</v>
      </c>
      <c r="M330" s="11">
        <f t="shared" si="59"/>
        <v>-21163888473.870327</v>
      </c>
      <c r="N330" s="11">
        <f t="shared" si="59"/>
        <v>-21164047703.948116</v>
      </c>
      <c r="O330" s="11">
        <f t="shared" si="59"/>
        <v>-21161347488.32877</v>
      </c>
    </row>
    <row r="331" spans="1:15">
      <c r="A331" t="s">
        <v>230</v>
      </c>
      <c r="B331" s="9">
        <f t="shared" ref="B331:O331" si="60">1-B244/$B$180</f>
        <v>0.11947751074498869</v>
      </c>
      <c r="C331" s="9">
        <f t="shared" si="60"/>
        <v>0.14776851119738654</v>
      </c>
      <c r="D331" s="9">
        <f t="shared" si="60"/>
        <v>0.1487130527598246</v>
      </c>
      <c r="E331" s="9">
        <f t="shared" si="60"/>
        <v>0.21115122668243735</v>
      </c>
      <c r="F331" s="9">
        <f t="shared" si="60"/>
        <v>0.17794516941037453</v>
      </c>
      <c r="G331" s="9">
        <f t="shared" si="60"/>
        <v>0.20385411722360913</v>
      </c>
      <c r="H331" s="9">
        <f t="shared" si="60"/>
        <v>0.28802951590060855</v>
      </c>
      <c r="I331" s="9">
        <f t="shared" si="60"/>
        <v>0.23418048862148022</v>
      </c>
      <c r="J331" s="9">
        <f t="shared" si="60"/>
        <v>0.23417878078008214</v>
      </c>
      <c r="K331" s="9">
        <f t="shared" si="60"/>
        <v>0.23417964017463178</v>
      </c>
      <c r="L331" s="9">
        <f t="shared" si="60"/>
        <v>0.31236311223426072</v>
      </c>
      <c r="M331" s="9">
        <f t="shared" si="60"/>
        <v>0.38425457150324838</v>
      </c>
      <c r="N331" s="9">
        <f t="shared" si="60"/>
        <v>0.38292675302320633</v>
      </c>
      <c r="O331" s="9">
        <f t="shared" si="60"/>
        <v>0.53347489369392265</v>
      </c>
    </row>
    <row r="333" spans="1:15">
      <c r="A333" t="s">
        <v>236</v>
      </c>
      <c r="B333" s="40" t="s">
        <v>161</v>
      </c>
    </row>
    <row r="334" spans="1:15">
      <c r="A334" s="10" t="s">
        <v>237</v>
      </c>
      <c r="B334" s="12">
        <f>B302+B277+B223+B250+B249-$B$182-$B$181</f>
        <v>191270.00325581152</v>
      </c>
      <c r="C334" s="12">
        <f t="shared" ref="C334:M334" si="61">C302+C277+C223+C250+C249-$B$182-$B$181</f>
        <v>-61431.996073660441</v>
      </c>
      <c r="D334" s="12">
        <f t="shared" si="61"/>
        <v>-68589.539918999188</v>
      </c>
      <c r="E334" s="12">
        <f t="shared" si="61"/>
        <v>1724800.0359558938</v>
      </c>
      <c r="F334" s="12">
        <f t="shared" si="61"/>
        <v>-290826.14128644299</v>
      </c>
      <c r="G334" s="12">
        <f t="shared" si="61"/>
        <v>-367500.01194630843</v>
      </c>
      <c r="H334" s="12">
        <f t="shared" si="61"/>
        <v>777853.01455221046</v>
      </c>
      <c r="I334" s="12">
        <f t="shared" si="61"/>
        <v>-1413984.6108494392</v>
      </c>
      <c r="J334" s="12">
        <f t="shared" si="61"/>
        <v>-1591131.6413758909</v>
      </c>
      <c r="K334" s="12">
        <f t="shared" si="61"/>
        <v>-1634486.0925277239</v>
      </c>
      <c r="L334" s="12">
        <f t="shared" si="61"/>
        <v>-434606.30261843931</v>
      </c>
      <c r="M334" s="12">
        <f t="shared" si="61"/>
        <v>401919.38174707163</v>
      </c>
      <c r="N334" s="12">
        <f>N302+N277+N223+N250+N249-$B$182-$B$181</f>
        <v>240816.3507729331</v>
      </c>
      <c r="O334" s="12">
        <f>O302+O277+O223+O250+O249-$B$182-$B$181</f>
        <v>3350161.1791215492</v>
      </c>
    </row>
    <row r="335" spans="1:15">
      <c r="A335" s="10" t="s">
        <v>238</v>
      </c>
      <c r="B335" s="12">
        <f t="shared" ref="B335:O335" si="62">B327+B225+$B$220-$B$183</f>
        <v>1453567.3184312936</v>
      </c>
      <c r="C335" s="12">
        <f t="shared" si="62"/>
        <v>1402384.2232963527</v>
      </c>
      <c r="D335" s="12">
        <f t="shared" si="62"/>
        <v>1402450.4602572704</v>
      </c>
      <c r="E335" s="12">
        <f t="shared" si="62"/>
        <v>1273368.2104982659</v>
      </c>
      <c r="F335" s="12">
        <f t="shared" si="62"/>
        <v>1330390.7124349577</v>
      </c>
      <c r="G335" s="12">
        <f t="shared" si="62"/>
        <v>1268149.8055333933</v>
      </c>
      <c r="H335" s="12">
        <f t="shared" si="62"/>
        <v>1078273.0651457515</v>
      </c>
      <c r="I335" s="12">
        <f t="shared" si="62"/>
        <v>1189040.7952111103</v>
      </c>
      <c r="J335" s="12">
        <f t="shared" si="62"/>
        <v>1189002.9455191549</v>
      </c>
      <c r="K335" s="12">
        <f t="shared" si="62"/>
        <v>1189021.9916782472</v>
      </c>
      <c r="L335" s="12">
        <f t="shared" si="62"/>
        <v>1012419.2110463101</v>
      </c>
      <c r="M335" s="12">
        <f t="shared" si="62"/>
        <v>821572.81492860988</v>
      </c>
      <c r="N335" s="12">
        <f t="shared" si="62"/>
        <v>823445.76811469533</v>
      </c>
      <c r="O335" s="12">
        <f t="shared" si="62"/>
        <v>414316.5591119146</v>
      </c>
    </row>
    <row r="336" spans="1:15">
      <c r="A336" s="10" t="s">
        <v>239</v>
      </c>
      <c r="B336" s="12">
        <f>B334+B335</f>
        <v>1644837.3216871051</v>
      </c>
      <c r="C336" s="12">
        <f t="shared" ref="C336:O336" si="63">C334+C335</f>
        <v>1340952.2272226922</v>
      </c>
      <c r="D336" s="12">
        <f t="shared" si="63"/>
        <v>1333860.9203382712</v>
      </c>
      <c r="E336" s="12">
        <f t="shared" si="63"/>
        <v>2998168.2464541597</v>
      </c>
      <c r="F336" s="12">
        <f t="shared" si="63"/>
        <v>1039564.5711485147</v>
      </c>
      <c r="G336" s="12">
        <f t="shared" si="63"/>
        <v>900649.79358708486</v>
      </c>
      <c r="H336" s="12">
        <f t="shared" si="63"/>
        <v>1856126.0796979619</v>
      </c>
      <c r="I336" s="12">
        <f t="shared" si="63"/>
        <v>-224943.8156383289</v>
      </c>
      <c r="J336" s="12">
        <f t="shared" si="63"/>
        <v>-402128.69585673604</v>
      </c>
      <c r="K336" s="12">
        <f t="shared" si="63"/>
        <v>-445464.10084947664</v>
      </c>
      <c r="L336" s="12">
        <f t="shared" si="63"/>
        <v>577812.90842787083</v>
      </c>
      <c r="M336" s="12">
        <f t="shared" si="63"/>
        <v>1223492.1966756815</v>
      </c>
      <c r="N336" s="12">
        <f t="shared" si="63"/>
        <v>1064262.1188876284</v>
      </c>
      <c r="O336" s="12">
        <f t="shared" si="63"/>
        <v>3764477.7382334638</v>
      </c>
    </row>
    <row r="337" spans="1:15">
      <c r="A337" s="10" t="s">
        <v>159</v>
      </c>
      <c r="B337" s="13">
        <f>-(B336-$B$219-$B$220)/($B$219+$B$220)</f>
        <v>4.1727069822206904</v>
      </c>
      <c r="C337" s="13">
        <f t="shared" ref="C337:O337" si="64">-(C336-$B$219-$B$220-C223-C225)/($B$219+$B$220+C223+C225)</f>
        <v>2.2550639150588627</v>
      </c>
      <c r="D337" s="13">
        <f t="shared" si="64"/>
        <v>2.1223690796175725</v>
      </c>
      <c r="E337" s="13">
        <f t="shared" si="64"/>
        <v>3.0417461301972231</v>
      </c>
      <c r="F337" s="13">
        <f t="shared" si="64"/>
        <v>1.6628044008321234</v>
      </c>
      <c r="G337" s="13">
        <f t="shared" si="64"/>
        <v>1.4354260505648917</v>
      </c>
      <c r="H337" s="13">
        <f t="shared" si="64"/>
        <v>1.6149302712101237</v>
      </c>
      <c r="I337" s="13">
        <f t="shared" si="64"/>
        <v>0.92669099013270284</v>
      </c>
      <c r="J337" s="13">
        <f t="shared" si="64"/>
        <v>0.87247909098104282</v>
      </c>
      <c r="K337" s="13">
        <f t="shared" si="64"/>
        <v>0.86028746955004087</v>
      </c>
      <c r="L337" s="13">
        <f t="shared" si="64"/>
        <v>1.1437905891371869</v>
      </c>
      <c r="M337" s="13">
        <f t="shared" si="64"/>
        <v>1.2593005111161732</v>
      </c>
      <c r="N337" s="13">
        <f t="shared" si="64"/>
        <v>1.2199600629338652</v>
      </c>
      <c r="O337" s="13">
        <f t="shared" si="64"/>
        <v>1.6469916330544632</v>
      </c>
    </row>
    <row r="339" spans="1:15">
      <c r="A339" t="s">
        <v>202</v>
      </c>
    </row>
    <row r="340" spans="1:15">
      <c r="A340" s="10" t="s">
        <v>203</v>
      </c>
      <c r="B340" s="12"/>
      <c r="C340" s="12">
        <f t="shared" ref="C340:O340" si="65">C334-$B$334</f>
        <v>-252701.99932947196</v>
      </c>
      <c r="D340" s="12">
        <f t="shared" si="65"/>
        <v>-259859.54317481071</v>
      </c>
      <c r="E340" s="12">
        <f t="shared" si="65"/>
        <v>1533530.0327000823</v>
      </c>
      <c r="F340" s="12">
        <f t="shared" si="65"/>
        <v>-482096.14454225451</v>
      </c>
      <c r="G340" s="12">
        <f t="shared" si="65"/>
        <v>-558770.01520211995</v>
      </c>
      <c r="H340" s="12">
        <f t="shared" si="65"/>
        <v>586583.01129639894</v>
      </c>
      <c r="I340" s="12">
        <f t="shared" si="65"/>
        <v>-1605254.6141052507</v>
      </c>
      <c r="J340" s="12">
        <f t="shared" si="65"/>
        <v>-1782401.6446317025</v>
      </c>
      <c r="K340" s="12">
        <f t="shared" si="65"/>
        <v>-1825756.0957835354</v>
      </c>
      <c r="L340" s="12">
        <f t="shared" si="65"/>
        <v>-625876.30587425083</v>
      </c>
      <c r="M340" s="12">
        <f t="shared" si="65"/>
        <v>210649.37849126011</v>
      </c>
      <c r="N340" s="12">
        <f t="shared" si="65"/>
        <v>49546.347517121583</v>
      </c>
      <c r="O340" s="12">
        <f t="shared" si="65"/>
        <v>3158891.1758657377</v>
      </c>
    </row>
    <row r="341" spans="1:15">
      <c r="A341" s="10" t="s">
        <v>204</v>
      </c>
      <c r="B341" s="12"/>
      <c r="C341" s="12">
        <f t="shared" ref="C341:O341" si="66">C335-$B$335</f>
        <v>-51183.09513494093</v>
      </c>
      <c r="D341" s="12">
        <f t="shared" si="66"/>
        <v>-51116.858174023218</v>
      </c>
      <c r="E341" s="12">
        <f t="shared" si="66"/>
        <v>-180199.10793302767</v>
      </c>
      <c r="F341" s="12">
        <f t="shared" si="66"/>
        <v>-123176.60599633586</v>
      </c>
      <c r="G341" s="12">
        <f t="shared" si="66"/>
        <v>-185417.51289790031</v>
      </c>
      <c r="H341" s="12">
        <f t="shared" si="66"/>
        <v>-375294.25328554213</v>
      </c>
      <c r="I341" s="12">
        <f t="shared" si="66"/>
        <v>-264526.52322018333</v>
      </c>
      <c r="J341" s="12">
        <f t="shared" si="66"/>
        <v>-264564.3729121387</v>
      </c>
      <c r="K341" s="12">
        <f t="shared" si="66"/>
        <v>-264545.32675304636</v>
      </c>
      <c r="L341" s="12">
        <f t="shared" si="66"/>
        <v>-441148.10738498345</v>
      </c>
      <c r="M341" s="12">
        <f t="shared" si="66"/>
        <v>-631994.50350268371</v>
      </c>
      <c r="N341" s="12">
        <f t="shared" si="66"/>
        <v>-630121.55031659827</v>
      </c>
      <c r="O341" s="12">
        <f t="shared" si="66"/>
        <v>-1039250.759319379</v>
      </c>
    </row>
    <row r="342" spans="1:15">
      <c r="A342" s="10" t="s">
        <v>205</v>
      </c>
      <c r="B342" s="12"/>
      <c r="C342" s="12">
        <f t="shared" ref="C342:O342" si="67">C341+C340</f>
        <v>-303885.09446441289</v>
      </c>
      <c r="D342" s="12">
        <f t="shared" si="67"/>
        <v>-310976.40134883393</v>
      </c>
      <c r="E342" s="12">
        <f t="shared" si="67"/>
        <v>1353330.9247670546</v>
      </c>
      <c r="F342" s="12">
        <f t="shared" si="67"/>
        <v>-605272.75053859036</v>
      </c>
      <c r="G342" s="12">
        <f t="shared" si="67"/>
        <v>-744187.52810002025</v>
      </c>
      <c r="H342" s="12">
        <f t="shared" si="67"/>
        <v>211288.75801085681</v>
      </c>
      <c r="I342" s="12">
        <f t="shared" si="67"/>
        <v>-1869781.137325434</v>
      </c>
      <c r="J342" s="12">
        <f t="shared" si="67"/>
        <v>-2046966.0175438412</v>
      </c>
      <c r="K342" s="12">
        <f t="shared" si="67"/>
        <v>-2090301.4225365818</v>
      </c>
      <c r="L342" s="12">
        <f t="shared" si="67"/>
        <v>-1067024.4132592343</v>
      </c>
      <c r="M342" s="12">
        <f t="shared" si="67"/>
        <v>-421345.1250114236</v>
      </c>
      <c r="N342" s="12">
        <f t="shared" si="67"/>
        <v>-580575.20279947668</v>
      </c>
      <c r="O342" s="12">
        <f t="shared" si="67"/>
        <v>2119640.4165463587</v>
      </c>
    </row>
    <row r="343" spans="1:15">
      <c r="A343" s="10" t="s">
        <v>206</v>
      </c>
      <c r="B343" s="13"/>
      <c r="C343" s="13">
        <f t="shared" ref="C343:O343" si="68">-(C342-C225-C223)/(C225+C223)</f>
        <v>0.44748164642834021</v>
      </c>
      <c r="D343" s="13">
        <f t="shared" si="68"/>
        <v>0.5358561173898001</v>
      </c>
      <c r="E343" s="13">
        <f t="shared" si="68"/>
        <v>2.424558868175847</v>
      </c>
      <c r="F343" s="13">
        <f t="shared" si="68"/>
        <v>0.42354976139181871</v>
      </c>
      <c r="G343" s="13">
        <f t="shared" si="68"/>
        <v>0.51987901412901916</v>
      </c>
      <c r="H343" s="13">
        <f t="shared" si="68"/>
        <v>1.0845155032043428</v>
      </c>
      <c r="I343" s="13">
        <f t="shared" si="68"/>
        <v>0.26675249516649646</v>
      </c>
      <c r="J343" s="13">
        <f t="shared" si="68"/>
        <v>0.22316280169114189</v>
      </c>
      <c r="K343" s="13">
        <f t="shared" si="68"/>
        <v>0.21711557208367724</v>
      </c>
      <c r="L343" s="13">
        <f t="shared" si="68"/>
        <v>0.69513588192593301</v>
      </c>
      <c r="M343" s="13">
        <f t="shared" si="68"/>
        <v>0.89967973214013719</v>
      </c>
      <c r="N343" s="13">
        <f t="shared" si="68"/>
        <v>0.8656075919445656</v>
      </c>
      <c r="O343" s="13">
        <f t="shared" si="68"/>
        <v>1.3999321540653507</v>
      </c>
    </row>
    <row r="345" spans="1:15">
      <c r="B345" t="s">
        <v>8</v>
      </c>
    </row>
    <row r="346" spans="1:15">
      <c r="B346" t="s">
        <v>293</v>
      </c>
    </row>
  </sheetData>
  <conditionalFormatting sqref="C336:O336">
    <cfRule type="colorScale" priority="150">
      <colorScale>
        <cfvo type="min"/>
        <cfvo type="max"/>
        <color rgb="FFFCFCFF"/>
        <color rgb="FF63BE7B"/>
      </colorScale>
    </cfRule>
  </conditionalFormatting>
  <conditionalFormatting sqref="C340:O340">
    <cfRule type="colorScale" priority="151">
      <colorScale>
        <cfvo type="min"/>
        <cfvo type="max"/>
        <color rgb="FFFCFCFF"/>
        <color rgb="FF63BE7B"/>
      </colorScale>
    </cfRule>
  </conditionalFormatting>
  <conditionalFormatting sqref="C341:O341">
    <cfRule type="colorScale" priority="152">
      <colorScale>
        <cfvo type="min"/>
        <cfvo type="max"/>
        <color rgb="FFFCFCFF"/>
        <color rgb="FF63BE7B"/>
      </colorScale>
    </cfRule>
  </conditionalFormatting>
  <conditionalFormatting sqref="C342:O342">
    <cfRule type="colorScale" priority="153">
      <colorScale>
        <cfvo type="min"/>
        <cfvo type="max"/>
        <color rgb="FFFCFCFF"/>
        <color rgb="FF63BE7B"/>
      </colorScale>
    </cfRule>
  </conditionalFormatting>
  <conditionalFormatting sqref="B335:O335">
    <cfRule type="colorScale" priority="154">
      <colorScale>
        <cfvo type="min"/>
        <cfvo type="max"/>
        <color rgb="FFFCFCFF"/>
        <color rgb="FF63BE7B"/>
      </colorScale>
    </cfRule>
  </conditionalFormatting>
  <conditionalFormatting sqref="B334:O334">
    <cfRule type="colorScale" priority="156">
      <colorScale>
        <cfvo type="min"/>
        <cfvo type="max"/>
        <color rgb="FFFCFCFF"/>
        <color rgb="FF63BE7B"/>
      </colorScale>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W346"/>
  <sheetViews>
    <sheetView workbookViewId="0">
      <selection activeCell="N9" sqref="N9"/>
    </sheetView>
  </sheetViews>
  <sheetFormatPr defaultRowHeight="15"/>
  <cols>
    <col min="1" max="1" width="44" customWidth="1"/>
    <col min="2" max="2" width="17.85546875" customWidth="1"/>
    <col min="3" max="3" width="15.140625" customWidth="1"/>
    <col min="4" max="15" width="13.42578125" customWidth="1"/>
  </cols>
  <sheetData>
    <row r="2" spans="1:15">
      <c r="A2" s="14" t="s">
        <v>296</v>
      </c>
    </row>
    <row r="3" spans="1:15">
      <c r="A3" s="10" t="s">
        <v>7</v>
      </c>
      <c r="B3" t="str">
        <f t="shared" ref="B3:O3" si="0">B43</f>
        <v>No Generator</v>
      </c>
      <c r="C3" t="str">
        <f t="shared" si="0"/>
        <v>No Generator</v>
      </c>
      <c r="D3" t="str">
        <f t="shared" si="0"/>
        <v>SG 200</v>
      </c>
      <c r="E3" t="str">
        <f t="shared" si="0"/>
        <v>SG 200</v>
      </c>
      <c r="F3" t="str">
        <f t="shared" si="0"/>
        <v>SG 300</v>
      </c>
      <c r="G3" t="str">
        <f t="shared" si="0"/>
        <v>SG 300</v>
      </c>
      <c r="H3" t="str">
        <f t="shared" si="0"/>
        <v>SG 300</v>
      </c>
      <c r="I3" t="str">
        <f t="shared" si="0"/>
        <v>SG 300</v>
      </c>
      <c r="J3" t="str">
        <f t="shared" si="0"/>
        <v>SG 500</v>
      </c>
      <c r="K3" t="str">
        <f t="shared" si="0"/>
        <v>SG 500</v>
      </c>
      <c r="L3" t="str">
        <f t="shared" si="0"/>
        <v>SG 500</v>
      </c>
      <c r="M3" t="str">
        <f t="shared" si="0"/>
        <v>SG 200</v>
      </c>
      <c r="N3" t="str">
        <f t="shared" si="0"/>
        <v>SG 300</v>
      </c>
      <c r="O3" t="str">
        <f t="shared" si="0"/>
        <v>SG 500</v>
      </c>
    </row>
    <row r="4" spans="1:15">
      <c r="A4" s="10" t="s">
        <v>9</v>
      </c>
      <c r="B4" t="str">
        <f t="shared" ref="B4:O4" si="1">B44</f>
        <v>No Generator</v>
      </c>
      <c r="C4" t="str">
        <f t="shared" si="1"/>
        <v>No Generator</v>
      </c>
      <c r="D4" t="str">
        <f t="shared" si="1"/>
        <v>No Generator</v>
      </c>
      <c r="E4" t="str">
        <f t="shared" si="1"/>
        <v>No Generator</v>
      </c>
      <c r="F4" t="str">
        <f t="shared" si="1"/>
        <v>No Generator</v>
      </c>
      <c r="G4" t="str">
        <f t="shared" si="1"/>
        <v>No Generator</v>
      </c>
      <c r="H4" t="str">
        <f t="shared" si="1"/>
        <v>No Generator</v>
      </c>
      <c r="I4" t="str">
        <f t="shared" si="1"/>
        <v>No Generator</v>
      </c>
      <c r="J4" t="str">
        <f t="shared" si="1"/>
        <v>No Generator</v>
      </c>
      <c r="K4" t="str">
        <f t="shared" si="1"/>
        <v>No Generator</v>
      </c>
      <c r="L4" t="str">
        <f t="shared" si="1"/>
        <v>No Generator</v>
      </c>
      <c r="M4" t="str">
        <f t="shared" si="1"/>
        <v>No Generator</v>
      </c>
      <c r="N4" t="str">
        <f t="shared" si="1"/>
        <v>No Generator</v>
      </c>
      <c r="O4" t="str">
        <f t="shared" si="1"/>
        <v>No Generator</v>
      </c>
    </row>
    <row r="5" spans="1:15">
      <c r="A5" s="10" t="s">
        <v>10</v>
      </c>
      <c r="B5" t="str">
        <f t="shared" ref="B5:O5" si="2">B45</f>
        <v>No Generator</v>
      </c>
      <c r="C5" t="str">
        <f t="shared" si="2"/>
        <v>No Generator</v>
      </c>
      <c r="D5" t="str">
        <f t="shared" si="2"/>
        <v>No Generator</v>
      </c>
      <c r="E5" t="str">
        <f t="shared" si="2"/>
        <v>No Generator</v>
      </c>
      <c r="F5" t="str">
        <f t="shared" si="2"/>
        <v>No Generator</v>
      </c>
      <c r="G5" t="str">
        <f t="shared" si="2"/>
        <v>No Generator</v>
      </c>
      <c r="H5" t="str">
        <f t="shared" si="2"/>
        <v>No Generator</v>
      </c>
      <c r="I5" t="str">
        <f t="shared" si="2"/>
        <v>WG 100</v>
      </c>
      <c r="J5" t="str">
        <f t="shared" si="2"/>
        <v>No Generator</v>
      </c>
      <c r="K5" t="str">
        <f t="shared" si="2"/>
        <v>WG 100</v>
      </c>
      <c r="L5" t="str">
        <f t="shared" si="2"/>
        <v>WG 200</v>
      </c>
      <c r="M5" t="str">
        <f t="shared" si="2"/>
        <v>WG 500</v>
      </c>
      <c r="N5" t="str">
        <f t="shared" si="2"/>
        <v>WG 500</v>
      </c>
      <c r="O5" t="str">
        <f t="shared" si="2"/>
        <v>WG 500</v>
      </c>
    </row>
    <row r="6" spans="1:15">
      <c r="A6" s="10" t="s">
        <v>11</v>
      </c>
      <c r="B6" t="str">
        <f t="shared" ref="B6:O6" si="3">B46</f>
        <v>No Battery</v>
      </c>
      <c r="C6" t="str">
        <f t="shared" si="3"/>
        <v>Bat 50/50</v>
      </c>
      <c r="D6" t="str">
        <f t="shared" si="3"/>
        <v>No Battery</v>
      </c>
      <c r="E6" t="str">
        <f t="shared" si="3"/>
        <v>Bat 50/50</v>
      </c>
      <c r="F6" t="str">
        <f t="shared" si="3"/>
        <v>No Battery</v>
      </c>
      <c r="G6" t="str">
        <f t="shared" si="3"/>
        <v>Bat 50/50</v>
      </c>
      <c r="H6" t="str">
        <f t="shared" si="3"/>
        <v>Bat 100/100</v>
      </c>
      <c r="I6" t="str">
        <f t="shared" si="3"/>
        <v>No Battery</v>
      </c>
      <c r="J6" t="str">
        <f t="shared" si="3"/>
        <v>No Battery</v>
      </c>
      <c r="K6" t="str">
        <f t="shared" si="3"/>
        <v>No Battery</v>
      </c>
      <c r="L6" t="str">
        <f t="shared" si="3"/>
        <v>No Battery</v>
      </c>
      <c r="M6" t="str">
        <f t="shared" si="3"/>
        <v>No Battery</v>
      </c>
      <c r="N6" t="str">
        <f t="shared" si="3"/>
        <v>No Battery</v>
      </c>
      <c r="O6" t="str">
        <f t="shared" si="3"/>
        <v>No Battery</v>
      </c>
    </row>
    <row r="7" spans="1:15">
      <c r="A7" s="10" t="s">
        <v>291</v>
      </c>
      <c r="B7" t="str">
        <f t="shared" ref="B7:O7" si="4">IF(B53&lt;0.3,$B$346,$B$345)</f>
        <v>No Generator</v>
      </c>
      <c r="C7" t="str">
        <f t="shared" si="4"/>
        <v>No Generator</v>
      </c>
      <c r="D7" t="str">
        <f t="shared" si="4"/>
        <v>No Generator</v>
      </c>
      <c r="E7" t="str">
        <f t="shared" si="4"/>
        <v>No Generator</v>
      </c>
      <c r="F7" t="str">
        <f t="shared" si="4"/>
        <v>No Generator</v>
      </c>
      <c r="G7" t="str">
        <f t="shared" si="4"/>
        <v>No Generator</v>
      </c>
      <c r="H7" t="str">
        <f t="shared" si="4"/>
        <v>No Generator</v>
      </c>
      <c r="I7" t="str">
        <f t="shared" si="4"/>
        <v>No Generator</v>
      </c>
      <c r="J7" t="str">
        <f t="shared" si="4"/>
        <v>No Generator</v>
      </c>
      <c r="K7" t="str">
        <f t="shared" si="4"/>
        <v>No Generator</v>
      </c>
      <c r="L7" t="str">
        <f t="shared" si="4"/>
        <v>100kW  Diesel</v>
      </c>
      <c r="M7" t="str">
        <f t="shared" si="4"/>
        <v>100kW  Diesel</v>
      </c>
      <c r="N7" t="str">
        <f t="shared" si="4"/>
        <v>100kW  Diesel</v>
      </c>
      <c r="O7" t="str">
        <f t="shared" si="4"/>
        <v>100kW  Diesel</v>
      </c>
    </row>
    <row r="8" spans="1:15">
      <c r="A8" s="10" t="s">
        <v>288</v>
      </c>
      <c r="B8" s="48">
        <f>$C$220</f>
        <v>-1414120.2429865745</v>
      </c>
      <c r="C8" s="48">
        <f t="shared" ref="C8:O8" si="5">$C$220</f>
        <v>-1414120.2429865745</v>
      </c>
      <c r="D8" s="48">
        <f t="shared" si="5"/>
        <v>-1414120.2429865745</v>
      </c>
      <c r="E8" s="48">
        <f t="shared" si="5"/>
        <v>-1414120.2429865745</v>
      </c>
      <c r="F8" s="48">
        <f t="shared" si="5"/>
        <v>-1414120.2429865745</v>
      </c>
      <c r="G8" s="48">
        <f t="shared" si="5"/>
        <v>-1414120.2429865745</v>
      </c>
      <c r="H8" s="48">
        <f t="shared" si="5"/>
        <v>-1414120.2429865745</v>
      </c>
      <c r="I8" s="48">
        <f t="shared" si="5"/>
        <v>-1414120.2429865745</v>
      </c>
      <c r="J8" s="48">
        <f t="shared" si="5"/>
        <v>-1414120.2429865745</v>
      </c>
      <c r="K8" s="48">
        <f t="shared" si="5"/>
        <v>-1414120.2429865745</v>
      </c>
      <c r="L8" s="48">
        <f t="shared" si="5"/>
        <v>-1414120.2429865745</v>
      </c>
      <c r="M8" s="48">
        <f t="shared" si="5"/>
        <v>-1414120.2429865745</v>
      </c>
      <c r="N8" s="48">
        <f t="shared" si="5"/>
        <v>-1414120.2429865745</v>
      </c>
      <c r="O8" s="48">
        <f t="shared" si="5"/>
        <v>-1414120.2429865745</v>
      </c>
    </row>
    <row r="9" spans="1:15">
      <c r="A9" s="10" t="s">
        <v>287</v>
      </c>
      <c r="B9" s="48">
        <f>-B58</f>
        <v>0</v>
      </c>
      <c r="C9" s="48">
        <f t="shared" ref="C9:O9" si="6">-C58</f>
        <v>-85000</v>
      </c>
      <c r="D9" s="48">
        <f t="shared" si="6"/>
        <v>-1050000</v>
      </c>
      <c r="E9" s="48">
        <f t="shared" si="6"/>
        <v>-1135000</v>
      </c>
      <c r="F9" s="48">
        <f t="shared" si="6"/>
        <v>-1550000</v>
      </c>
      <c r="G9" s="48">
        <f t="shared" si="6"/>
        <v>-1635000</v>
      </c>
      <c r="H9" s="48">
        <f t="shared" si="6"/>
        <v>-1670000</v>
      </c>
      <c r="I9" s="48">
        <f t="shared" si="6"/>
        <v>-2500000</v>
      </c>
      <c r="J9" s="48">
        <f t="shared" si="6"/>
        <v>-2550000</v>
      </c>
      <c r="K9" s="48">
        <f t="shared" si="6"/>
        <v>-3500000</v>
      </c>
      <c r="L9" s="48">
        <f t="shared" si="6"/>
        <v>-4200000</v>
      </c>
      <c r="M9" s="48">
        <f t="shared" si="6"/>
        <v>-4800000</v>
      </c>
      <c r="N9" s="48">
        <f t="shared" si="6"/>
        <v>-5300000</v>
      </c>
      <c r="O9" s="48">
        <f t="shared" si="6"/>
        <v>-6300000</v>
      </c>
    </row>
    <row r="10" spans="1:15">
      <c r="A10" s="10" t="s">
        <v>292</v>
      </c>
      <c r="B10" s="48">
        <f t="shared" ref="B10:O10" si="7">B225</f>
        <v>0</v>
      </c>
      <c r="C10" s="48">
        <f t="shared" si="7"/>
        <v>0</v>
      </c>
      <c r="D10" s="48">
        <f t="shared" si="7"/>
        <v>-10181.300000000047</v>
      </c>
      <c r="E10" s="48">
        <f t="shared" si="7"/>
        <v>-10181.300000000047</v>
      </c>
      <c r="F10" s="48">
        <f t="shared" si="7"/>
        <v>-11654.879999999888</v>
      </c>
      <c r="G10" s="48">
        <f t="shared" si="7"/>
        <v>-11654.879999999888</v>
      </c>
      <c r="H10" s="48">
        <f t="shared" si="7"/>
        <v>-11654.879999999888</v>
      </c>
      <c r="I10" s="48">
        <f t="shared" si="7"/>
        <v>-12987.200000000186</v>
      </c>
      <c r="J10" s="48">
        <f t="shared" si="7"/>
        <v>-17540.339999999851</v>
      </c>
      <c r="K10" s="48">
        <f t="shared" si="7"/>
        <v>-19856.830000000075</v>
      </c>
      <c r="L10" s="48">
        <f t="shared" si="7"/>
        <v>-22930.719999999739</v>
      </c>
      <c r="M10" s="48">
        <f t="shared" si="7"/>
        <v>-34482.879999999888</v>
      </c>
      <c r="N10" s="48">
        <f t="shared" si="7"/>
        <v>-38324.110000000335</v>
      </c>
      <c r="O10" s="48">
        <f t="shared" si="7"/>
        <v>-47876.44000000041</v>
      </c>
    </row>
    <row r="11" spans="1:15">
      <c r="A11" s="10" t="s">
        <v>294</v>
      </c>
      <c r="B11" s="48">
        <f t="shared" ref="B11:O11" si="8">B234</f>
        <v>0</v>
      </c>
      <c r="C11" s="48">
        <f t="shared" si="8"/>
        <v>0</v>
      </c>
      <c r="D11" s="48">
        <f t="shared" si="8"/>
        <v>0</v>
      </c>
      <c r="E11" s="48">
        <f t="shared" si="8"/>
        <v>0</v>
      </c>
      <c r="F11" s="48">
        <f t="shared" si="8"/>
        <v>0</v>
      </c>
      <c r="G11" s="48">
        <f t="shared" si="8"/>
        <v>0</v>
      </c>
      <c r="H11" s="48">
        <f t="shared" si="8"/>
        <v>0</v>
      </c>
      <c r="I11" s="48">
        <f t="shared" si="8"/>
        <v>0</v>
      </c>
      <c r="J11" s="48">
        <f t="shared" si="8"/>
        <v>0</v>
      </c>
      <c r="K11" s="48">
        <f t="shared" si="8"/>
        <v>0</v>
      </c>
      <c r="L11" s="48">
        <f t="shared" si="8"/>
        <v>-41158.26</v>
      </c>
      <c r="M11" s="48">
        <f t="shared" si="8"/>
        <v>-41158.26</v>
      </c>
      <c r="N11" s="48">
        <f t="shared" si="8"/>
        <v>-41158.26</v>
      </c>
      <c r="O11" s="48">
        <f t="shared" si="8"/>
        <v>-41158.26</v>
      </c>
    </row>
    <row r="12" spans="1:15">
      <c r="A12" s="10" t="s">
        <v>230</v>
      </c>
      <c r="B12" s="9">
        <f t="shared" ref="B12:O12" si="9">B331</f>
        <v>0.18951144780676943</v>
      </c>
      <c r="C12" s="9">
        <f t="shared" si="9"/>
        <v>0.1899838902163794</v>
      </c>
      <c r="D12" s="9">
        <f t="shared" si="9"/>
        <v>0.2480552901964701</v>
      </c>
      <c r="E12" s="9">
        <f t="shared" si="9"/>
        <v>0.24852649649453107</v>
      </c>
      <c r="F12" s="9">
        <f t="shared" si="9"/>
        <v>0.27581051594324735</v>
      </c>
      <c r="G12" s="9">
        <f t="shared" si="9"/>
        <v>0.27580949485283868</v>
      </c>
      <c r="H12" s="9">
        <f t="shared" si="9"/>
        <v>0.27581040846004645</v>
      </c>
      <c r="I12" s="9">
        <f t="shared" si="9"/>
        <v>0.3615580340342438</v>
      </c>
      <c r="J12" s="9">
        <f t="shared" si="9"/>
        <v>0.31927554007696402</v>
      </c>
      <c r="K12" s="9">
        <f t="shared" si="9"/>
        <v>0.40215744854843827</v>
      </c>
      <c r="L12" s="9">
        <f t="shared" si="9"/>
        <v>0.47853764440038959</v>
      </c>
      <c r="M12" s="9">
        <f t="shared" si="9"/>
        <v>0.64707060484477985</v>
      </c>
      <c r="N12" s="9">
        <f t="shared" si="9"/>
        <v>0.66083452736240356</v>
      </c>
      <c r="O12" s="9">
        <f t="shared" si="9"/>
        <v>0.69498984030750255</v>
      </c>
    </row>
    <row r="13" spans="1:15">
      <c r="A13" s="10" t="s">
        <v>237</v>
      </c>
      <c r="B13" s="11">
        <f t="shared" ref="B13:O13" si="10">B334</f>
        <v>1176325.8183533782</v>
      </c>
      <c r="C13" s="11">
        <f t="shared" si="10"/>
        <v>1036898.3260058025</v>
      </c>
      <c r="D13" s="11">
        <f t="shared" si="10"/>
        <v>734855.08893066179</v>
      </c>
      <c r="E13" s="11">
        <f t="shared" si="10"/>
        <v>669603.5524370661</v>
      </c>
      <c r="F13" s="11">
        <f t="shared" si="10"/>
        <v>359649.33164969366</v>
      </c>
      <c r="G13" s="11">
        <f t="shared" si="10"/>
        <v>272931.16028294619</v>
      </c>
      <c r="H13" s="11">
        <f t="shared" si="10"/>
        <v>236561.7909669159</v>
      </c>
      <c r="I13" s="11">
        <f t="shared" si="10"/>
        <v>1445320.9171494441</v>
      </c>
      <c r="J13" s="11">
        <f t="shared" si="10"/>
        <v>-818448.11760891881</v>
      </c>
      <c r="K13" s="11">
        <f t="shared" si="10"/>
        <v>259195.82802693825</v>
      </c>
      <c r="L13" s="11">
        <f t="shared" si="10"/>
        <v>1020673.6911840355</v>
      </c>
      <c r="M13" s="11">
        <f t="shared" si="10"/>
        <v>4636685.8585975962</v>
      </c>
      <c r="N13" s="11">
        <f t="shared" si="10"/>
        <v>3865099.5965690138</v>
      </c>
      <c r="O13" s="11">
        <f t="shared" si="10"/>
        <v>2355182.056218286</v>
      </c>
    </row>
    <row r="14" spans="1:15">
      <c r="A14" s="10" t="s">
        <v>238</v>
      </c>
      <c r="B14" s="11">
        <f t="shared" ref="B14:O14" si="11">B335</f>
        <v>1353967.5005601533</v>
      </c>
      <c r="C14" s="11">
        <f t="shared" si="11"/>
        <v>1354004.4227203522</v>
      </c>
      <c r="D14" s="11">
        <f t="shared" si="11"/>
        <v>1232731.4889021777</v>
      </c>
      <c r="E14" s="11">
        <f t="shared" si="11"/>
        <v>1232741.0159884542</v>
      </c>
      <c r="F14" s="11">
        <f t="shared" si="11"/>
        <v>1251668.7172683943</v>
      </c>
      <c r="G14" s="11">
        <f t="shared" si="11"/>
        <v>1251646.0875573047</v>
      </c>
      <c r="H14" s="11">
        <f t="shared" si="11"/>
        <v>1251666.3351935418</v>
      </c>
      <c r="I14" s="11">
        <f t="shared" si="11"/>
        <v>1137035.3890253315</v>
      </c>
      <c r="J14" s="11">
        <f t="shared" si="11"/>
        <v>1489157.4627848696</v>
      </c>
      <c r="K14" s="11">
        <f t="shared" si="11"/>
        <v>1435233.3211242445</v>
      </c>
      <c r="L14" s="11">
        <f t="shared" si="11"/>
        <v>1413828.1728903726</v>
      </c>
      <c r="M14" s="11">
        <f t="shared" si="11"/>
        <v>1642135.4681763928</v>
      </c>
      <c r="N14" s="11">
        <f t="shared" si="11"/>
        <v>1828566.0400628429</v>
      </c>
      <c r="O14" s="11">
        <f t="shared" si="11"/>
        <v>2304703.2888242416</v>
      </c>
    </row>
    <row r="15" spans="1:15">
      <c r="A15" s="10" t="s">
        <v>239</v>
      </c>
      <c r="B15" s="11">
        <f t="shared" ref="B15:O15" si="12">B336</f>
        <v>2530293.3189135315</v>
      </c>
      <c r="C15" s="11">
        <f t="shared" si="12"/>
        <v>2390902.7487261547</v>
      </c>
      <c r="D15" s="11">
        <f t="shared" si="12"/>
        <v>1967586.5778328395</v>
      </c>
      <c r="E15" s="11">
        <f t="shared" si="12"/>
        <v>1902344.5684255203</v>
      </c>
      <c r="F15" s="11">
        <f t="shared" si="12"/>
        <v>1611318.048918088</v>
      </c>
      <c r="G15" s="11">
        <f t="shared" si="12"/>
        <v>1524577.2478402508</v>
      </c>
      <c r="H15" s="11">
        <f t="shared" si="12"/>
        <v>1488228.1261604577</v>
      </c>
      <c r="I15" s="11">
        <f t="shared" si="12"/>
        <v>2582356.3061747756</v>
      </c>
      <c r="J15" s="11">
        <f t="shared" si="12"/>
        <v>670709.34517595079</v>
      </c>
      <c r="K15" s="11">
        <f t="shared" si="12"/>
        <v>1694429.1491511827</v>
      </c>
      <c r="L15" s="11">
        <f t="shared" si="12"/>
        <v>2434501.8640744081</v>
      </c>
      <c r="M15" s="11">
        <f t="shared" si="12"/>
        <v>6278821.326773989</v>
      </c>
      <c r="N15" s="11">
        <f t="shared" si="12"/>
        <v>5693665.6366318567</v>
      </c>
      <c r="O15" s="11">
        <f t="shared" si="12"/>
        <v>4659885.3450425277</v>
      </c>
    </row>
    <row r="16" spans="1:15">
      <c r="A16" s="10" t="s">
        <v>159</v>
      </c>
      <c r="B16" s="9">
        <f t="shared" ref="B16:O16" si="13">B337</f>
        <v>2.7893056346959835</v>
      </c>
      <c r="C16" s="9">
        <f t="shared" si="13"/>
        <v>2.5948705648607309</v>
      </c>
      <c r="D16" s="9">
        <f t="shared" si="13"/>
        <v>1.7952088877000372</v>
      </c>
      <c r="E16" s="9">
        <f t="shared" si="13"/>
        <v>1.7433061468034678</v>
      </c>
      <c r="F16" s="9">
        <f t="shared" si="13"/>
        <v>1.5414784324498694</v>
      </c>
      <c r="G16" s="9">
        <f t="shared" si="13"/>
        <v>1.4981016855471019</v>
      </c>
      <c r="H16" s="9">
        <f t="shared" si="13"/>
        <v>1.4807287567853848</v>
      </c>
      <c r="I16" s="9">
        <f t="shared" si="13"/>
        <v>1.6575721045744771</v>
      </c>
      <c r="J16" s="9">
        <f t="shared" si="13"/>
        <v>1.1684496534038726</v>
      </c>
      <c r="K16" s="9">
        <f t="shared" si="13"/>
        <v>1.3434205558895171</v>
      </c>
      <c r="L16" s="9">
        <f t="shared" si="13"/>
        <v>1.4318750850506023</v>
      </c>
      <c r="M16" s="9">
        <f t="shared" si="13"/>
        <v>2.0048359934520805</v>
      </c>
      <c r="N16" s="9">
        <f t="shared" si="13"/>
        <v>1.8432006750434862</v>
      </c>
      <c r="O16" s="9">
        <f t="shared" si="13"/>
        <v>1.600346217005796</v>
      </c>
    </row>
    <row r="18" spans="1:17">
      <c r="A18" s="52" t="s">
        <v>310</v>
      </c>
      <c r="B18" s="11">
        <f t="shared" ref="B18:O18" si="14">-SUM(B8:B11)</f>
        <v>1414120.2429865745</v>
      </c>
      <c r="C18" s="11">
        <f t="shared" si="14"/>
        <v>1499120.2429865745</v>
      </c>
      <c r="D18" s="11">
        <f t="shared" si="14"/>
        <v>2474301.5429865746</v>
      </c>
      <c r="E18" s="11">
        <f t="shared" si="14"/>
        <v>2559301.5429865746</v>
      </c>
      <c r="F18" s="11">
        <f t="shared" si="14"/>
        <v>2975775.1229865747</v>
      </c>
      <c r="G18" s="11">
        <f t="shared" si="14"/>
        <v>3060775.1229865747</v>
      </c>
      <c r="H18" s="11">
        <f t="shared" si="14"/>
        <v>3095775.1229865747</v>
      </c>
      <c r="I18" s="11">
        <f t="shared" si="14"/>
        <v>3927107.442986575</v>
      </c>
      <c r="J18" s="11">
        <f t="shared" si="14"/>
        <v>3981660.5829865746</v>
      </c>
      <c r="K18" s="11">
        <f t="shared" si="14"/>
        <v>4933977.0729865748</v>
      </c>
      <c r="L18" s="11">
        <f t="shared" si="14"/>
        <v>5678209.2229865743</v>
      </c>
      <c r="M18" s="11">
        <f t="shared" si="14"/>
        <v>6289761.3829865744</v>
      </c>
      <c r="N18" s="11">
        <f t="shared" si="14"/>
        <v>6793602.6129865749</v>
      </c>
      <c r="O18" s="11">
        <f t="shared" si="14"/>
        <v>7803154.942986575</v>
      </c>
      <c r="P18" s="11"/>
      <c r="Q18" s="11"/>
    </row>
    <row r="20" spans="1:17">
      <c r="A20" s="14" t="s">
        <v>295</v>
      </c>
    </row>
    <row r="21" spans="1:17">
      <c r="A21" t="s">
        <v>207</v>
      </c>
      <c r="B21">
        <v>1</v>
      </c>
      <c r="C21">
        <v>2</v>
      </c>
      <c r="D21">
        <v>3</v>
      </c>
      <c r="E21">
        <v>4</v>
      </c>
      <c r="F21">
        <v>5</v>
      </c>
      <c r="G21">
        <v>6</v>
      </c>
      <c r="H21">
        <v>7</v>
      </c>
      <c r="I21">
        <v>8</v>
      </c>
      <c r="J21">
        <v>9</v>
      </c>
      <c r="K21">
        <v>10</v>
      </c>
      <c r="L21">
        <v>12</v>
      </c>
      <c r="M21">
        <v>14</v>
      </c>
      <c r="N21">
        <v>15</v>
      </c>
      <c r="O21">
        <v>17</v>
      </c>
    </row>
    <row r="22" spans="1:17">
      <c r="A22" t="s">
        <v>63</v>
      </c>
      <c r="B22" s="9" t="s">
        <v>212</v>
      </c>
      <c r="C22" s="9" t="s">
        <v>212</v>
      </c>
      <c r="D22" s="9" t="s">
        <v>212</v>
      </c>
      <c r="E22" s="9" t="s">
        <v>212</v>
      </c>
      <c r="F22" s="9" t="s">
        <v>212</v>
      </c>
      <c r="G22" s="9" t="s">
        <v>212</v>
      </c>
      <c r="H22" s="9" t="s">
        <v>212</v>
      </c>
      <c r="I22" s="9" t="s">
        <v>212</v>
      </c>
      <c r="J22" s="9" t="s">
        <v>212</v>
      </c>
      <c r="K22" s="9" t="s">
        <v>212</v>
      </c>
      <c r="L22" s="9" t="s">
        <v>212</v>
      </c>
      <c r="M22" s="9" t="s">
        <v>212</v>
      </c>
      <c r="N22" s="9" t="s">
        <v>212</v>
      </c>
      <c r="O22" s="9" t="s">
        <v>212</v>
      </c>
    </row>
    <row r="23" spans="1:17">
      <c r="A23" t="s">
        <v>104</v>
      </c>
      <c r="B23" s="7"/>
      <c r="C23" s="7"/>
      <c r="D23" s="7"/>
      <c r="E23" s="7"/>
      <c r="F23" s="7"/>
      <c r="G23" s="7"/>
      <c r="H23" s="7"/>
      <c r="I23" s="7"/>
      <c r="J23" s="7"/>
      <c r="K23" s="7"/>
      <c r="L23" s="7"/>
      <c r="M23" s="7"/>
      <c r="N23" s="7"/>
      <c r="O23" s="7"/>
    </row>
    <row r="24" spans="1:17">
      <c r="A24" t="s">
        <v>105</v>
      </c>
    </row>
    <row r="25" spans="1:17">
      <c r="A25" t="s">
        <v>106</v>
      </c>
      <c r="B25" t="s">
        <v>107</v>
      </c>
      <c r="C25" t="s">
        <v>107</v>
      </c>
      <c r="D25" t="s">
        <v>107</v>
      </c>
      <c r="E25" t="s">
        <v>107</v>
      </c>
      <c r="F25" t="s">
        <v>107</v>
      </c>
      <c r="G25" t="s">
        <v>107</v>
      </c>
      <c r="H25" t="s">
        <v>107</v>
      </c>
      <c r="I25" t="s">
        <v>107</v>
      </c>
      <c r="J25" t="s">
        <v>107</v>
      </c>
      <c r="K25" t="s">
        <v>107</v>
      </c>
      <c r="L25" t="s">
        <v>107</v>
      </c>
      <c r="M25" t="s">
        <v>107</v>
      </c>
      <c r="N25" t="s">
        <v>107</v>
      </c>
      <c r="O25" t="s">
        <v>107</v>
      </c>
    </row>
    <row r="26" spans="1:17">
      <c r="A26" t="s">
        <v>108</v>
      </c>
    </row>
    <row r="27" spans="1:17">
      <c r="A27" t="s">
        <v>51</v>
      </c>
      <c r="B27" t="s">
        <v>212</v>
      </c>
      <c r="C27" t="s">
        <v>212</v>
      </c>
      <c r="D27" t="s">
        <v>212</v>
      </c>
      <c r="E27" t="s">
        <v>212</v>
      </c>
      <c r="F27" t="s">
        <v>212</v>
      </c>
      <c r="G27" t="s">
        <v>212</v>
      </c>
      <c r="H27" t="s">
        <v>212</v>
      </c>
      <c r="I27" t="s">
        <v>212</v>
      </c>
      <c r="J27" t="s">
        <v>212</v>
      </c>
      <c r="K27" t="s">
        <v>212</v>
      </c>
      <c r="L27" t="s">
        <v>212</v>
      </c>
      <c r="M27" t="s">
        <v>212</v>
      </c>
      <c r="N27" t="s">
        <v>212</v>
      </c>
      <c r="O27" t="s">
        <v>212</v>
      </c>
    </row>
    <row r="28" spans="1:17">
      <c r="A28" t="s">
        <v>55</v>
      </c>
      <c r="B28" t="s">
        <v>212</v>
      </c>
      <c r="C28" t="s">
        <v>212</v>
      </c>
      <c r="D28" t="s">
        <v>212</v>
      </c>
      <c r="E28" t="s">
        <v>212</v>
      </c>
      <c r="F28" t="s">
        <v>212</v>
      </c>
      <c r="G28" t="s">
        <v>212</v>
      </c>
      <c r="H28" t="s">
        <v>212</v>
      </c>
      <c r="I28" t="s">
        <v>212</v>
      </c>
      <c r="J28" t="s">
        <v>212</v>
      </c>
      <c r="K28" t="s">
        <v>212</v>
      </c>
      <c r="L28" t="s">
        <v>212</v>
      </c>
      <c r="M28" t="s">
        <v>212</v>
      </c>
      <c r="N28" t="s">
        <v>212</v>
      </c>
      <c r="O28" t="s">
        <v>212</v>
      </c>
    </row>
    <row r="29" spans="1:17">
      <c r="A29" t="s">
        <v>53</v>
      </c>
      <c r="B29" t="s">
        <v>212</v>
      </c>
      <c r="C29" t="s">
        <v>212</v>
      </c>
      <c r="D29" t="s">
        <v>212</v>
      </c>
      <c r="E29" t="s">
        <v>212</v>
      </c>
      <c r="F29" t="s">
        <v>212</v>
      </c>
      <c r="G29" t="s">
        <v>212</v>
      </c>
      <c r="H29" t="s">
        <v>212</v>
      </c>
      <c r="I29" t="s">
        <v>212</v>
      </c>
      <c r="J29" t="s">
        <v>212</v>
      </c>
      <c r="K29" t="s">
        <v>212</v>
      </c>
      <c r="L29" t="s">
        <v>212</v>
      </c>
      <c r="M29" t="s">
        <v>212</v>
      </c>
      <c r="N29" t="s">
        <v>212</v>
      </c>
      <c r="O29" t="s">
        <v>212</v>
      </c>
    </row>
    <row r="30" spans="1:17">
      <c r="A30" t="s">
        <v>65</v>
      </c>
      <c r="B30" t="s">
        <v>212</v>
      </c>
      <c r="C30" t="s">
        <v>212</v>
      </c>
      <c r="D30" t="s">
        <v>212</v>
      </c>
      <c r="E30" t="s">
        <v>212</v>
      </c>
      <c r="F30" t="s">
        <v>212</v>
      </c>
      <c r="G30" t="s">
        <v>212</v>
      </c>
      <c r="H30" t="s">
        <v>212</v>
      </c>
      <c r="I30" t="s">
        <v>212</v>
      </c>
      <c r="J30" t="s">
        <v>212</v>
      </c>
      <c r="K30" t="s">
        <v>212</v>
      </c>
      <c r="L30" t="s">
        <v>212</v>
      </c>
      <c r="M30" t="s">
        <v>212</v>
      </c>
      <c r="N30" t="s">
        <v>212</v>
      </c>
      <c r="O30" t="s">
        <v>212</v>
      </c>
    </row>
    <row r="31" spans="1:17">
      <c r="A31" t="s">
        <v>66</v>
      </c>
    </row>
    <row r="32" spans="1:17">
      <c r="A32" t="s">
        <v>30</v>
      </c>
      <c r="B32" s="8"/>
      <c r="C32" s="8"/>
      <c r="D32" s="6"/>
      <c r="E32" s="6"/>
      <c r="F32" s="6"/>
      <c r="G32" s="6"/>
      <c r="H32" s="6"/>
      <c r="I32" s="6"/>
      <c r="J32" s="6"/>
      <c r="K32" s="6"/>
      <c r="L32" s="6"/>
      <c r="M32" s="6"/>
      <c r="N32" s="6"/>
      <c r="O32" s="6"/>
    </row>
    <row r="33" spans="1:15">
      <c r="A33" t="s">
        <v>67</v>
      </c>
      <c r="B33" s="9">
        <v>0.27055025999999999</v>
      </c>
      <c r="C33" s="9">
        <v>0.27055683000000003</v>
      </c>
      <c r="D33" s="9">
        <v>0.24907909</v>
      </c>
      <c r="E33" s="9">
        <v>0.24908089</v>
      </c>
      <c r="F33" s="9">
        <v>0.23858715999999999</v>
      </c>
      <c r="G33" s="9">
        <v>0.23858317000000001</v>
      </c>
      <c r="H33" s="9">
        <v>0.23858673999999999</v>
      </c>
      <c r="I33" s="9">
        <v>0.20568853000000001</v>
      </c>
      <c r="J33" s="9">
        <v>0.22544330000000001</v>
      </c>
      <c r="K33" s="9">
        <v>0.19407774999999999</v>
      </c>
      <c r="L33" s="9">
        <v>0.16136835999999999</v>
      </c>
      <c r="M33" s="9">
        <v>9.3305330000000006E-2</v>
      </c>
      <c r="N33" s="9">
        <v>9.0311810000000006E-2</v>
      </c>
      <c r="O33" s="9">
        <v>8.5092929999999997E-2</v>
      </c>
    </row>
    <row r="34" spans="1:15">
      <c r="A34" t="s">
        <v>68</v>
      </c>
      <c r="B34" s="7">
        <v>1</v>
      </c>
      <c r="C34" s="7">
        <v>1</v>
      </c>
      <c r="D34" s="7">
        <v>1</v>
      </c>
      <c r="E34" s="7">
        <v>1</v>
      </c>
      <c r="F34" s="7">
        <v>1</v>
      </c>
      <c r="G34" s="7">
        <v>1</v>
      </c>
      <c r="H34" s="7">
        <v>1</v>
      </c>
      <c r="I34" s="7">
        <v>1</v>
      </c>
      <c r="J34" s="7">
        <v>1</v>
      </c>
      <c r="K34" s="7">
        <v>1</v>
      </c>
      <c r="L34" s="7">
        <v>1</v>
      </c>
      <c r="M34" s="7">
        <v>1</v>
      </c>
      <c r="N34" s="7">
        <v>1</v>
      </c>
      <c r="O34" s="7">
        <v>1</v>
      </c>
    </row>
    <row r="35" spans="1:15">
      <c r="A35" t="s">
        <v>69</v>
      </c>
      <c r="B35">
        <v>12367905</v>
      </c>
      <c r="C35">
        <v>12368205</v>
      </c>
      <c r="D35">
        <v>11386375</v>
      </c>
      <c r="E35" s="5">
        <v>11386457</v>
      </c>
      <c r="F35" s="5">
        <v>10906748</v>
      </c>
      <c r="G35" s="5">
        <v>10906565</v>
      </c>
      <c r="H35" s="5">
        <v>10906728</v>
      </c>
      <c r="I35" s="5">
        <v>9402823</v>
      </c>
      <c r="J35" s="5">
        <v>10305890</v>
      </c>
      <c r="K35" s="5">
        <v>8872049</v>
      </c>
      <c r="L35" s="5">
        <v>7376776</v>
      </c>
      <c r="M35">
        <v>4265349</v>
      </c>
      <c r="N35">
        <v>4128504</v>
      </c>
      <c r="O35">
        <v>3889929</v>
      </c>
    </row>
    <row r="36" spans="1:15">
      <c r="A36" t="s">
        <v>71</v>
      </c>
      <c r="B36" s="9">
        <v>33345987</v>
      </c>
      <c r="C36" s="9">
        <v>33345687</v>
      </c>
      <c r="D36" s="5">
        <v>34327518</v>
      </c>
      <c r="E36" s="5">
        <v>34327435</v>
      </c>
      <c r="F36" s="5">
        <v>34807145</v>
      </c>
      <c r="G36" s="5">
        <v>34807327</v>
      </c>
      <c r="H36" s="5">
        <v>34807164</v>
      </c>
      <c r="I36" s="5">
        <v>36311069</v>
      </c>
      <c r="J36" s="5">
        <v>35408002</v>
      </c>
      <c r="K36" s="5">
        <v>36841843</v>
      </c>
      <c r="L36" s="5">
        <v>38337117</v>
      </c>
      <c r="M36" s="5">
        <v>41448543</v>
      </c>
      <c r="N36" s="5">
        <v>41585388</v>
      </c>
      <c r="O36" s="5">
        <v>41823964</v>
      </c>
    </row>
    <row r="37" spans="1:15">
      <c r="A37" t="s">
        <v>72</v>
      </c>
      <c r="B37" s="9"/>
      <c r="C37" s="9"/>
      <c r="D37" s="9"/>
      <c r="E37" s="9"/>
      <c r="F37" s="9"/>
      <c r="G37" s="9"/>
      <c r="H37" s="9"/>
      <c r="I37" s="9"/>
      <c r="J37" s="9"/>
      <c r="K37" s="9"/>
      <c r="L37" s="9"/>
      <c r="M37" s="9"/>
      <c r="N37" s="9"/>
      <c r="O37" s="9"/>
    </row>
    <row r="38" spans="1:15">
      <c r="A38" t="s">
        <v>73</v>
      </c>
      <c r="B38" s="9"/>
      <c r="C38" s="9"/>
      <c r="D38" s="9"/>
      <c r="E38" s="9"/>
      <c r="F38" s="9"/>
      <c r="G38" s="9"/>
      <c r="H38" s="9"/>
      <c r="I38" s="9"/>
      <c r="J38" s="9"/>
      <c r="K38" s="9"/>
      <c r="L38" s="9"/>
      <c r="M38" s="9"/>
      <c r="N38" s="9"/>
      <c r="O38" s="9"/>
    </row>
    <row r="39" spans="1:15">
      <c r="A39" t="s">
        <v>74</v>
      </c>
      <c r="B39" s="7"/>
      <c r="C39" s="7"/>
      <c r="D39" s="7"/>
      <c r="E39" s="7"/>
      <c r="F39" s="7"/>
      <c r="G39" s="7"/>
      <c r="H39" s="7"/>
      <c r="I39" s="7"/>
      <c r="J39" s="7"/>
      <c r="K39" s="7"/>
      <c r="L39" s="7"/>
      <c r="M39" s="7"/>
      <c r="N39" s="7"/>
      <c r="O39" s="7"/>
    </row>
    <row r="40" spans="1:15">
      <c r="A40" t="s">
        <v>75</v>
      </c>
      <c r="B40" s="8">
        <v>12367905.57</v>
      </c>
      <c r="C40" s="8">
        <v>12368205.970000001</v>
      </c>
      <c r="D40" s="8">
        <v>11386375.17</v>
      </c>
      <c r="E40" s="8">
        <v>11386457.41</v>
      </c>
      <c r="F40" s="8">
        <v>10906748.17</v>
      </c>
      <c r="G40" s="8">
        <v>10906565.67</v>
      </c>
      <c r="H40" s="8">
        <v>10906728.68</v>
      </c>
      <c r="I40" s="8">
        <v>9402823.6699999999</v>
      </c>
      <c r="J40" s="8">
        <v>10305890.75</v>
      </c>
      <c r="K40" s="8">
        <v>8872049.6899999995</v>
      </c>
      <c r="L40" s="8">
        <v>7376776.0300000003</v>
      </c>
      <c r="M40" s="8">
        <v>4265349.95</v>
      </c>
      <c r="N40" s="8">
        <v>4128504.4</v>
      </c>
      <c r="O40" s="8">
        <v>3889929.08</v>
      </c>
    </row>
    <row r="41" spans="1:15">
      <c r="A41" t="s">
        <v>76</v>
      </c>
      <c r="B41" s="8">
        <v>33345987.739999998</v>
      </c>
      <c r="C41" s="8">
        <v>33345687.34</v>
      </c>
      <c r="D41" s="8">
        <v>34327518.140000001</v>
      </c>
      <c r="E41" s="8">
        <v>34327435.909999996</v>
      </c>
      <c r="F41" s="8">
        <v>34807145.140000001</v>
      </c>
      <c r="G41" s="8">
        <v>34807327.640000001</v>
      </c>
      <c r="H41" s="8">
        <v>34807164.630000003</v>
      </c>
      <c r="I41" s="8">
        <v>36311069.640000001</v>
      </c>
      <c r="J41" s="8">
        <v>35408002.560000002</v>
      </c>
      <c r="K41" s="8">
        <v>36841843.619999997</v>
      </c>
      <c r="L41" s="8">
        <v>38337117.289999999</v>
      </c>
      <c r="M41" s="8">
        <v>41448543.359999999</v>
      </c>
      <c r="N41" s="8">
        <v>41585388.909999996</v>
      </c>
      <c r="O41" s="8">
        <v>41823964.229999997</v>
      </c>
    </row>
    <row r="42" spans="1:15">
      <c r="A42" t="s">
        <v>77</v>
      </c>
    </row>
    <row r="43" spans="1:15">
      <c r="A43" t="s">
        <v>7</v>
      </c>
      <c r="B43" s="9" t="s">
        <v>8</v>
      </c>
      <c r="C43" s="9" t="s">
        <v>8</v>
      </c>
      <c r="D43" t="s">
        <v>15</v>
      </c>
      <c r="E43" t="s">
        <v>15</v>
      </c>
      <c r="F43" t="s">
        <v>17</v>
      </c>
      <c r="G43" t="s">
        <v>17</v>
      </c>
      <c r="H43" t="s">
        <v>17</v>
      </c>
      <c r="I43" t="s">
        <v>17</v>
      </c>
      <c r="J43" t="s">
        <v>18</v>
      </c>
      <c r="K43" t="s">
        <v>18</v>
      </c>
      <c r="L43" t="s">
        <v>18</v>
      </c>
      <c r="M43" t="s">
        <v>15</v>
      </c>
      <c r="N43" t="s">
        <v>17</v>
      </c>
      <c r="O43" t="s">
        <v>18</v>
      </c>
    </row>
    <row r="44" spans="1:15">
      <c r="A44" t="s">
        <v>9</v>
      </c>
      <c r="B44" s="9" t="s">
        <v>8</v>
      </c>
      <c r="C44" s="9" t="s">
        <v>8</v>
      </c>
      <c r="D44" s="9" t="s">
        <v>8</v>
      </c>
      <c r="E44" s="9" t="s">
        <v>8</v>
      </c>
      <c r="F44" s="9" t="s">
        <v>8</v>
      </c>
      <c r="G44" t="s">
        <v>8</v>
      </c>
      <c r="H44" s="9" t="s">
        <v>8</v>
      </c>
      <c r="I44" s="9" t="s">
        <v>8</v>
      </c>
      <c r="J44" t="s">
        <v>8</v>
      </c>
      <c r="K44" t="s">
        <v>8</v>
      </c>
      <c r="L44" t="s">
        <v>8</v>
      </c>
      <c r="M44" t="s">
        <v>8</v>
      </c>
      <c r="N44" t="s">
        <v>8</v>
      </c>
      <c r="O44" t="s">
        <v>8</v>
      </c>
    </row>
    <row r="45" spans="1:15">
      <c r="A45" t="s">
        <v>10</v>
      </c>
      <c r="B45" s="9" t="s">
        <v>8</v>
      </c>
      <c r="C45" s="9" t="s">
        <v>8</v>
      </c>
      <c r="D45" s="9" t="s">
        <v>8</v>
      </c>
      <c r="E45" s="9" t="s">
        <v>8</v>
      </c>
      <c r="F45" s="9" t="s">
        <v>8</v>
      </c>
      <c r="G45" s="9" t="s">
        <v>8</v>
      </c>
      <c r="H45" s="9" t="s">
        <v>8</v>
      </c>
      <c r="I45" s="9" t="s">
        <v>20</v>
      </c>
      <c r="J45" s="9" t="s">
        <v>8</v>
      </c>
      <c r="K45" t="s">
        <v>20</v>
      </c>
      <c r="L45" s="9" t="s">
        <v>199</v>
      </c>
      <c r="M45" t="s">
        <v>21</v>
      </c>
      <c r="N45" t="s">
        <v>21</v>
      </c>
      <c r="O45" t="s">
        <v>21</v>
      </c>
    </row>
    <row r="46" spans="1:15">
      <c r="A46" t="s">
        <v>11</v>
      </c>
      <c r="B46" s="9" t="s">
        <v>12</v>
      </c>
      <c r="C46" s="9" t="s">
        <v>19</v>
      </c>
      <c r="D46" s="9" t="s">
        <v>12</v>
      </c>
      <c r="E46" s="9" t="s">
        <v>19</v>
      </c>
      <c r="F46" s="9" t="s">
        <v>12</v>
      </c>
      <c r="G46" s="9" t="s">
        <v>19</v>
      </c>
      <c r="H46" s="9" t="s">
        <v>14</v>
      </c>
      <c r="I46" s="9" t="s">
        <v>12</v>
      </c>
      <c r="J46" s="9" t="s">
        <v>12</v>
      </c>
      <c r="K46" s="9" t="s">
        <v>12</v>
      </c>
      <c r="L46" s="9" t="s">
        <v>12</v>
      </c>
      <c r="M46" s="9" t="s">
        <v>12</v>
      </c>
      <c r="N46" s="9" t="s">
        <v>12</v>
      </c>
      <c r="O46" s="9" t="s">
        <v>12</v>
      </c>
    </row>
    <row r="47" spans="1:15">
      <c r="A47" t="s">
        <v>78</v>
      </c>
      <c r="B47" s="9"/>
      <c r="C47" s="9"/>
      <c r="D47" s="9"/>
      <c r="E47" s="9"/>
      <c r="F47" s="9"/>
      <c r="G47" s="9"/>
      <c r="H47" s="9"/>
      <c r="I47" s="9"/>
      <c r="J47" s="9"/>
      <c r="K47" s="9"/>
      <c r="L47" s="9"/>
      <c r="M47" s="9"/>
      <c r="N47" s="9"/>
      <c r="O47" s="9"/>
    </row>
    <row r="48" spans="1:15">
      <c r="A48" t="s">
        <v>79</v>
      </c>
      <c r="B48" s="8">
        <v>0</v>
      </c>
      <c r="C48" s="6">
        <v>85000</v>
      </c>
      <c r="D48" s="6">
        <v>1060181.3</v>
      </c>
      <c r="E48" s="6">
        <v>1145181.3</v>
      </c>
      <c r="F48" s="6">
        <v>1561654.88</v>
      </c>
      <c r="G48" s="6">
        <v>1646654.88</v>
      </c>
      <c r="H48" s="6">
        <v>1681654.88</v>
      </c>
      <c r="I48" s="6">
        <v>2512987.2000000002</v>
      </c>
      <c r="J48" s="6">
        <v>2567540.34</v>
      </c>
      <c r="K48" s="6">
        <v>3519856.83</v>
      </c>
      <c r="L48" s="6">
        <v>4222930.72</v>
      </c>
      <c r="M48" s="6">
        <v>4834482.88</v>
      </c>
      <c r="N48" s="6">
        <v>5338324.1100000003</v>
      </c>
      <c r="O48" s="6">
        <v>6347876.4400000004</v>
      </c>
    </row>
    <row r="49" spans="1:15">
      <c r="A49" t="s">
        <v>80</v>
      </c>
      <c r="B49" s="9">
        <v>0.99999927</v>
      </c>
      <c r="C49" s="9">
        <v>0.99999916</v>
      </c>
      <c r="D49" s="9">
        <v>0.99999928000000005</v>
      </c>
      <c r="E49" s="9">
        <v>0.99999917000000005</v>
      </c>
      <c r="F49" s="9">
        <v>0.99999905</v>
      </c>
      <c r="G49" s="9">
        <v>0.99999934999999995</v>
      </c>
      <c r="H49" s="9">
        <v>0.99999967999999995</v>
      </c>
      <c r="I49" s="9">
        <v>0.99999910999999997</v>
      </c>
      <c r="J49" s="9">
        <v>0.99999934000000001</v>
      </c>
      <c r="K49" s="9">
        <v>0.99999923999999996</v>
      </c>
      <c r="L49" s="9">
        <v>0.99999908999999998</v>
      </c>
      <c r="M49" s="9">
        <v>0.99999943999999996</v>
      </c>
      <c r="N49" s="9">
        <v>0.99999954000000002</v>
      </c>
      <c r="O49" s="9">
        <v>0.99999941000000003</v>
      </c>
    </row>
    <row r="50" spans="1:15">
      <c r="A50" t="s">
        <v>152</v>
      </c>
      <c r="B50">
        <v>13.36</v>
      </c>
      <c r="C50">
        <v>13.35</v>
      </c>
      <c r="D50">
        <v>12.01</v>
      </c>
      <c r="E50">
        <v>12</v>
      </c>
      <c r="F50">
        <v>11.44</v>
      </c>
      <c r="G50">
        <v>11.44</v>
      </c>
      <c r="H50">
        <v>11.44</v>
      </c>
      <c r="I50">
        <v>9.51</v>
      </c>
      <c r="J50">
        <v>10.75</v>
      </c>
      <c r="K50">
        <v>8.94</v>
      </c>
      <c r="L50">
        <v>7.3</v>
      </c>
      <c r="M50">
        <v>3.95</v>
      </c>
      <c r="N50">
        <v>3.84</v>
      </c>
      <c r="O50">
        <v>3.58</v>
      </c>
    </row>
    <row r="51" spans="1:15">
      <c r="A51" t="s">
        <v>153</v>
      </c>
      <c r="B51">
        <v>12783.35</v>
      </c>
      <c r="C51">
        <v>12783.66</v>
      </c>
      <c r="D51">
        <v>11850.93</v>
      </c>
      <c r="E51">
        <v>11851.01</v>
      </c>
      <c r="F51">
        <v>12022.3</v>
      </c>
      <c r="G51">
        <v>12022.11</v>
      </c>
      <c r="H51">
        <v>12022.28</v>
      </c>
      <c r="I51">
        <v>11071.02</v>
      </c>
      <c r="J51">
        <v>14065.68</v>
      </c>
      <c r="K51">
        <v>13632.38</v>
      </c>
      <c r="L51">
        <v>13478.47</v>
      </c>
      <c r="M51">
        <v>15492.34</v>
      </c>
      <c r="N51">
        <v>17089.87</v>
      </c>
      <c r="O51">
        <v>21167.74</v>
      </c>
    </row>
    <row r="52" spans="1:15">
      <c r="A52" t="s">
        <v>83</v>
      </c>
      <c r="B52">
        <v>0</v>
      </c>
      <c r="C52" s="5">
        <v>0</v>
      </c>
      <c r="D52" s="5">
        <v>79408.479999999996</v>
      </c>
      <c r="E52" s="5">
        <v>79408.479999999996</v>
      </c>
      <c r="F52" s="5">
        <v>724836.55</v>
      </c>
      <c r="G52" s="5">
        <v>724836.55</v>
      </c>
      <c r="H52" s="5">
        <v>724836.55</v>
      </c>
      <c r="I52" s="5">
        <v>1308393.46</v>
      </c>
      <c r="J52" s="5">
        <v>3302668.13</v>
      </c>
      <c r="K52" s="5">
        <v>4317291.16</v>
      </c>
      <c r="L52" s="5">
        <v>5663656.3600000003</v>
      </c>
      <c r="M52" s="5">
        <v>10723500.710000001</v>
      </c>
      <c r="N52" s="5">
        <v>12405958.220000001</v>
      </c>
      <c r="O52" s="5">
        <v>16589881.890000001</v>
      </c>
    </row>
    <row r="53" spans="1:15">
      <c r="A53" t="s">
        <v>84</v>
      </c>
      <c r="B53" s="9">
        <v>0.58789999999999998</v>
      </c>
      <c r="C53" s="9">
        <v>0.58809999999999996</v>
      </c>
      <c r="D53" s="9">
        <v>0.51919999999999999</v>
      </c>
      <c r="E53" s="9">
        <v>0.51949999999999996</v>
      </c>
      <c r="F53" s="9">
        <v>0.49020000000000002</v>
      </c>
      <c r="G53" s="9">
        <v>0.49099999999999999</v>
      </c>
      <c r="H53" s="9">
        <v>0.49099999999999999</v>
      </c>
      <c r="I53" s="9">
        <v>0.40489999999999998</v>
      </c>
      <c r="J53" s="9">
        <v>0.45989999999999998</v>
      </c>
      <c r="K53" s="9">
        <v>0.37719999999999998</v>
      </c>
      <c r="L53" s="9">
        <v>0.28299999999999997</v>
      </c>
      <c r="M53" s="9">
        <v>0.15029999999999999</v>
      </c>
      <c r="N53" s="9">
        <v>0.14580000000000001</v>
      </c>
      <c r="O53" s="9">
        <v>0.13469999999999999</v>
      </c>
    </row>
    <row r="54" spans="1:15">
      <c r="A54" t="s">
        <v>213</v>
      </c>
      <c r="B54" s="5">
        <v>12597.329453608536</v>
      </c>
      <c r="C54" s="5">
        <v>12597.635018604069</v>
      </c>
      <c r="D54" s="5">
        <v>11597.592086722199</v>
      </c>
      <c r="E54" s="5">
        <v>11597.675607820975</v>
      </c>
      <c r="F54" s="5">
        <v>11109.068013013199</v>
      </c>
      <c r="G54" s="5">
        <v>11108.881618365922</v>
      </c>
      <c r="H54" s="5">
        <v>11109.047642013496</v>
      </c>
      <c r="I54" s="5">
        <v>9577.2452266546188</v>
      </c>
      <c r="J54" s="5">
        <v>10497.064106059166</v>
      </c>
      <c r="K54" s="5">
        <v>9036.6253768571278</v>
      </c>
      <c r="L54" s="5">
        <v>7513.6150849697324</v>
      </c>
      <c r="M54" s="5">
        <v>4344.4711604446929</v>
      </c>
      <c r="N54" s="5">
        <v>4205.0876877321307</v>
      </c>
      <c r="O54" s="5">
        <v>3962.0871250341916</v>
      </c>
    </row>
    <row r="55" spans="1:15">
      <c r="A55" t="s">
        <v>214</v>
      </c>
      <c r="B55" s="5">
        <v>186.02054639146445</v>
      </c>
      <c r="C55" s="5">
        <v>186.02498139593081</v>
      </c>
      <c r="D55" s="5">
        <v>253.33791327780091</v>
      </c>
      <c r="E55" s="5">
        <v>253.3343921790256</v>
      </c>
      <c r="F55" s="5">
        <v>913.23198698680062</v>
      </c>
      <c r="G55" s="5">
        <v>913.22838163407869</v>
      </c>
      <c r="H55" s="5">
        <v>913.23235798650421</v>
      </c>
      <c r="I55" s="5">
        <v>1493.7747733453816</v>
      </c>
      <c r="J55" s="5">
        <v>3568.6158939408342</v>
      </c>
      <c r="K55" s="5">
        <v>4595.7546231428714</v>
      </c>
      <c r="L55" s="5">
        <v>5964.854915030267</v>
      </c>
      <c r="M55" s="5">
        <v>11147.868839555307</v>
      </c>
      <c r="N55" s="5">
        <v>12884.782312267867</v>
      </c>
      <c r="O55" s="5">
        <v>17205.65287496581</v>
      </c>
    </row>
    <row r="56" spans="1:15">
      <c r="A56" t="s">
        <v>25</v>
      </c>
    </row>
    <row r="57" spans="1:15">
      <c r="A57" t="s">
        <v>85</v>
      </c>
      <c r="B57" s="8">
        <v>0</v>
      </c>
      <c r="C57" s="8">
        <v>0</v>
      </c>
      <c r="D57" s="8">
        <v>0</v>
      </c>
      <c r="E57" s="8">
        <v>0</v>
      </c>
      <c r="F57" s="8">
        <v>0</v>
      </c>
      <c r="G57" s="8">
        <v>0</v>
      </c>
      <c r="H57" s="8">
        <v>0</v>
      </c>
      <c r="I57" s="8">
        <v>0</v>
      </c>
      <c r="J57" s="8">
        <v>0</v>
      </c>
      <c r="K57" s="8">
        <v>0</v>
      </c>
      <c r="L57" s="8">
        <v>0</v>
      </c>
      <c r="M57" s="8">
        <v>0</v>
      </c>
      <c r="N57" s="8">
        <v>0</v>
      </c>
      <c r="O57" s="8">
        <v>0</v>
      </c>
    </row>
    <row r="58" spans="1:15">
      <c r="A58" t="s">
        <v>86</v>
      </c>
      <c r="B58" s="8">
        <v>0</v>
      </c>
      <c r="C58" s="8">
        <v>85000</v>
      </c>
      <c r="D58" s="8">
        <v>1050000</v>
      </c>
      <c r="E58" s="8">
        <v>1135000</v>
      </c>
      <c r="F58" s="8">
        <v>1550000</v>
      </c>
      <c r="G58" s="8">
        <v>1635000</v>
      </c>
      <c r="H58" s="8">
        <v>1670000</v>
      </c>
      <c r="I58" s="8">
        <v>2500000</v>
      </c>
      <c r="J58" s="8">
        <v>2550000</v>
      </c>
      <c r="K58" s="8">
        <v>3500000</v>
      </c>
      <c r="L58" s="8">
        <v>4200000</v>
      </c>
      <c r="M58" s="8">
        <v>4800000</v>
      </c>
      <c r="N58" s="8">
        <v>5300000</v>
      </c>
      <c r="O58" s="8">
        <v>6300000</v>
      </c>
    </row>
    <row r="59" spans="1:15">
      <c r="A59" t="s">
        <v>87</v>
      </c>
      <c r="B59" s="8">
        <v>0</v>
      </c>
      <c r="C59" s="8">
        <v>85000</v>
      </c>
      <c r="D59" s="8">
        <v>1050000</v>
      </c>
      <c r="E59" s="8">
        <v>1135000</v>
      </c>
      <c r="F59" s="8">
        <v>1550000</v>
      </c>
      <c r="G59" s="8">
        <v>1635000</v>
      </c>
      <c r="H59" s="8">
        <v>1670000</v>
      </c>
      <c r="I59" s="8">
        <v>2500000</v>
      </c>
      <c r="J59" s="8">
        <v>2550000</v>
      </c>
      <c r="K59" s="8">
        <v>3500000</v>
      </c>
      <c r="L59" s="8">
        <v>4200000</v>
      </c>
      <c r="M59" s="8">
        <v>4800000</v>
      </c>
      <c r="N59" s="8">
        <v>5300000</v>
      </c>
      <c r="O59" s="8">
        <v>6300000</v>
      </c>
    </row>
    <row r="60" spans="1:15">
      <c r="A60" t="s">
        <v>88</v>
      </c>
    </row>
    <row r="61" spans="1:15">
      <c r="A61" t="s">
        <v>89</v>
      </c>
      <c r="B61">
        <v>1278</v>
      </c>
      <c r="C61">
        <v>1278</v>
      </c>
      <c r="D61">
        <v>1278</v>
      </c>
      <c r="E61">
        <v>1278</v>
      </c>
      <c r="F61">
        <v>1278</v>
      </c>
      <c r="G61">
        <v>1278</v>
      </c>
      <c r="H61">
        <v>1278</v>
      </c>
      <c r="I61">
        <v>1278</v>
      </c>
      <c r="J61">
        <v>1278</v>
      </c>
      <c r="K61">
        <v>1278</v>
      </c>
      <c r="L61">
        <v>1278</v>
      </c>
      <c r="M61">
        <v>1278</v>
      </c>
      <c r="N61">
        <v>1278</v>
      </c>
      <c r="O61">
        <v>1278</v>
      </c>
    </row>
    <row r="62" spans="1:15">
      <c r="A62" t="s">
        <v>96</v>
      </c>
      <c r="B62">
        <v>0</v>
      </c>
      <c r="C62">
        <v>0</v>
      </c>
      <c r="D62">
        <v>200</v>
      </c>
      <c r="E62">
        <v>200</v>
      </c>
      <c r="F62">
        <v>300</v>
      </c>
      <c r="G62">
        <v>300</v>
      </c>
      <c r="H62">
        <v>300</v>
      </c>
      <c r="I62">
        <v>300</v>
      </c>
      <c r="J62">
        <v>500</v>
      </c>
      <c r="K62">
        <v>500</v>
      </c>
      <c r="L62">
        <v>500</v>
      </c>
      <c r="M62">
        <v>200</v>
      </c>
      <c r="N62">
        <v>300</v>
      </c>
      <c r="O62">
        <v>500</v>
      </c>
    </row>
    <row r="63" spans="1:15">
      <c r="A63" t="s">
        <v>97</v>
      </c>
      <c r="B63">
        <v>0</v>
      </c>
      <c r="C63">
        <v>0</v>
      </c>
      <c r="D63">
        <v>0</v>
      </c>
      <c r="E63">
        <v>0</v>
      </c>
      <c r="F63">
        <v>0</v>
      </c>
      <c r="G63" t="e">
        <v>#VALUE!</v>
      </c>
      <c r="H63" s="9">
        <v>0</v>
      </c>
      <c r="I63">
        <v>0</v>
      </c>
      <c r="J63" t="e">
        <v>#VALUE!</v>
      </c>
      <c r="K63">
        <v>100</v>
      </c>
      <c r="L63">
        <v>200</v>
      </c>
      <c r="M63">
        <v>500</v>
      </c>
      <c r="N63">
        <v>500</v>
      </c>
      <c r="O63">
        <v>500</v>
      </c>
    </row>
    <row r="64" spans="1:15">
      <c r="A64" t="s">
        <v>90</v>
      </c>
      <c r="B64" s="9">
        <v>0.34949999999999998</v>
      </c>
      <c r="C64" s="9">
        <v>0.3498</v>
      </c>
      <c r="D64" s="9">
        <v>0.3231</v>
      </c>
      <c r="E64" s="9">
        <v>0.32300000000000001</v>
      </c>
      <c r="F64" s="9">
        <v>0.30509999999999998</v>
      </c>
      <c r="G64" s="9">
        <v>0.30530000000000002</v>
      </c>
      <c r="H64" s="9">
        <v>0.30530000000000002</v>
      </c>
      <c r="I64" s="9">
        <v>0.27960000000000002</v>
      </c>
      <c r="J64" s="9">
        <v>0.2848</v>
      </c>
      <c r="K64" s="9">
        <v>0.2591</v>
      </c>
      <c r="L64" s="9">
        <v>0.2218</v>
      </c>
      <c r="M64" s="9">
        <v>0.11559999999999999</v>
      </c>
      <c r="N64" s="9">
        <v>0.1111</v>
      </c>
      <c r="O64" s="9">
        <v>0.1028</v>
      </c>
    </row>
    <row r="65" spans="1:15">
      <c r="A65" t="s">
        <v>91</v>
      </c>
      <c r="B65" s="9">
        <v>0.58789999999999998</v>
      </c>
      <c r="C65" s="9">
        <v>0.58809999999999996</v>
      </c>
      <c r="D65" s="9">
        <v>0.51919999999999999</v>
      </c>
      <c r="E65" s="9">
        <v>0.51949999999999996</v>
      </c>
      <c r="F65" s="9">
        <v>0.49020000000000002</v>
      </c>
      <c r="G65" s="9">
        <v>0.49099999999999999</v>
      </c>
      <c r="H65" s="9">
        <v>0.49099999999999999</v>
      </c>
      <c r="I65" s="9">
        <v>0.40489999999999998</v>
      </c>
      <c r="J65" s="9">
        <v>0.45989999999999998</v>
      </c>
      <c r="K65" s="9">
        <v>0.37719999999999998</v>
      </c>
      <c r="L65" s="9">
        <v>0.28299999999999997</v>
      </c>
      <c r="M65" s="9">
        <v>0.15029999999999999</v>
      </c>
      <c r="N65" s="9">
        <v>0.14580000000000001</v>
      </c>
      <c r="O65" s="9">
        <v>0.13469999999999999</v>
      </c>
    </row>
    <row r="66" spans="1:15">
      <c r="A66" t="s">
        <v>92</v>
      </c>
      <c r="F66" s="9"/>
      <c r="I66" s="9"/>
    </row>
    <row r="67" spans="1:15">
      <c r="A67" t="s">
        <v>51</v>
      </c>
      <c r="B67">
        <v>0</v>
      </c>
      <c r="C67">
        <v>0</v>
      </c>
      <c r="D67">
        <v>4442778.12</v>
      </c>
      <c r="E67">
        <v>4442778.12</v>
      </c>
      <c r="F67">
        <v>6058443.3499999996</v>
      </c>
      <c r="G67">
        <v>6058443.3499999996</v>
      </c>
      <c r="H67">
        <v>6058443.3499999996</v>
      </c>
      <c r="I67">
        <v>6058443.3499999996</v>
      </c>
      <c r="J67">
        <v>8002798.3600000003</v>
      </c>
      <c r="K67">
        <v>8002798.3600000003</v>
      </c>
      <c r="L67">
        <v>8002798.3600000003</v>
      </c>
      <c r="M67">
        <v>4442778.12</v>
      </c>
      <c r="N67">
        <v>6058443.3499999996</v>
      </c>
      <c r="O67">
        <v>8002798.3600000003</v>
      </c>
    </row>
    <row r="68" spans="1:15">
      <c r="A68" t="s">
        <v>55</v>
      </c>
      <c r="B68">
        <v>0</v>
      </c>
      <c r="C68">
        <v>0</v>
      </c>
      <c r="D68">
        <v>4442778.12</v>
      </c>
      <c r="E68">
        <v>4442778.12</v>
      </c>
      <c r="F68">
        <v>6058443.3499999996</v>
      </c>
      <c r="G68">
        <v>6058443.3499999996</v>
      </c>
      <c r="H68">
        <v>6058443.3499999996</v>
      </c>
      <c r="I68">
        <v>6058443.3499999996</v>
      </c>
      <c r="J68">
        <v>8002798.3600000003</v>
      </c>
      <c r="K68">
        <v>8002798.3600000003</v>
      </c>
      <c r="L68">
        <v>8002798.3600000003</v>
      </c>
      <c r="M68">
        <v>4442778.12</v>
      </c>
      <c r="N68">
        <v>6058443.3499999996</v>
      </c>
      <c r="O68">
        <v>8002798.3600000003</v>
      </c>
    </row>
    <row r="69" spans="1:15">
      <c r="A69" t="s">
        <v>53</v>
      </c>
      <c r="B69">
        <v>0</v>
      </c>
      <c r="C69">
        <v>0</v>
      </c>
      <c r="D69">
        <v>4442778.12</v>
      </c>
      <c r="E69">
        <v>4442778.12</v>
      </c>
      <c r="F69">
        <v>6058443.3499999996</v>
      </c>
      <c r="G69">
        <v>6058443.3499999996</v>
      </c>
      <c r="H69">
        <v>6058443.3499999996</v>
      </c>
      <c r="I69">
        <v>6058443.3499999996</v>
      </c>
      <c r="J69">
        <v>8002798.3600000003</v>
      </c>
      <c r="K69">
        <v>8002798.3600000003</v>
      </c>
      <c r="L69">
        <v>8002798.3600000003</v>
      </c>
      <c r="M69">
        <v>4442778.12</v>
      </c>
      <c r="N69">
        <v>6058443.3499999996</v>
      </c>
      <c r="O69">
        <v>8002798.3600000003</v>
      </c>
    </row>
    <row r="70" spans="1:15">
      <c r="A70" t="s">
        <v>65</v>
      </c>
      <c r="B70">
        <v>0</v>
      </c>
      <c r="C70">
        <v>0</v>
      </c>
      <c r="D70">
        <v>4442778.12</v>
      </c>
      <c r="E70">
        <v>4442778.12</v>
      </c>
      <c r="F70">
        <v>6058443.3499999996</v>
      </c>
      <c r="G70">
        <v>6058443.3499999996</v>
      </c>
      <c r="H70">
        <v>6058443.3499999996</v>
      </c>
      <c r="I70">
        <v>6058443.3499999996</v>
      </c>
      <c r="J70">
        <v>8002798.3600000003</v>
      </c>
      <c r="K70">
        <v>8002798.3600000003</v>
      </c>
      <c r="L70">
        <v>8002798.3600000003</v>
      </c>
      <c r="M70">
        <v>4442778.12</v>
      </c>
      <c r="N70">
        <v>6058443.3499999996</v>
      </c>
      <c r="O70">
        <v>8002798.3600000003</v>
      </c>
    </row>
    <row r="71" spans="1:15">
      <c r="A71" t="s">
        <v>93</v>
      </c>
    </row>
    <row r="72" spans="1:15">
      <c r="A72" t="s">
        <v>51</v>
      </c>
      <c r="B72">
        <v>0</v>
      </c>
      <c r="C72">
        <v>0</v>
      </c>
      <c r="D72">
        <v>79408.479999999996</v>
      </c>
      <c r="E72">
        <v>79408.479999999996</v>
      </c>
      <c r="F72">
        <v>724836.55</v>
      </c>
      <c r="G72">
        <v>724836.55</v>
      </c>
      <c r="H72">
        <v>724836.55</v>
      </c>
      <c r="I72">
        <v>724836.55</v>
      </c>
      <c r="J72">
        <v>3302668.13</v>
      </c>
      <c r="K72">
        <v>3302668.13</v>
      </c>
      <c r="L72">
        <v>3302668.13</v>
      </c>
      <c r="M72">
        <v>79408.479999999996</v>
      </c>
      <c r="N72">
        <v>724836.55</v>
      </c>
      <c r="O72">
        <v>3302668.13</v>
      </c>
    </row>
    <row r="73" spans="1:15">
      <c r="A73" t="s">
        <v>55</v>
      </c>
      <c r="B73">
        <v>0</v>
      </c>
      <c r="C73">
        <v>0</v>
      </c>
      <c r="D73">
        <v>79408.479999999996</v>
      </c>
      <c r="E73">
        <v>79408.479999999996</v>
      </c>
      <c r="F73">
        <v>724836.55</v>
      </c>
      <c r="G73">
        <v>724836.55</v>
      </c>
      <c r="H73">
        <v>724836.55</v>
      </c>
      <c r="I73">
        <v>724836.55</v>
      </c>
      <c r="J73">
        <v>3302668.13</v>
      </c>
      <c r="K73">
        <v>3302668.13</v>
      </c>
      <c r="L73">
        <v>3302668.13</v>
      </c>
      <c r="M73">
        <v>79408.479999999996</v>
      </c>
      <c r="N73">
        <v>724836.55</v>
      </c>
      <c r="O73">
        <v>3302668.13</v>
      </c>
    </row>
    <row r="74" spans="1:15">
      <c r="A74" t="s">
        <v>53</v>
      </c>
      <c r="B74">
        <v>0</v>
      </c>
      <c r="C74">
        <v>0</v>
      </c>
      <c r="D74">
        <v>79408.479999999996</v>
      </c>
      <c r="E74">
        <v>79408.479999999996</v>
      </c>
      <c r="F74">
        <v>724836.55</v>
      </c>
      <c r="G74">
        <v>724836.55</v>
      </c>
      <c r="H74">
        <v>724836.55</v>
      </c>
      <c r="I74">
        <v>724836.55</v>
      </c>
      <c r="J74">
        <v>3302668.13</v>
      </c>
      <c r="K74">
        <v>3302668.13</v>
      </c>
      <c r="L74">
        <v>3302668.13</v>
      </c>
      <c r="M74">
        <v>79408.479999999996</v>
      </c>
      <c r="N74">
        <v>724836.55</v>
      </c>
      <c r="O74">
        <v>3302668.13</v>
      </c>
    </row>
    <row r="75" spans="1:15">
      <c r="A75" t="s">
        <v>65</v>
      </c>
      <c r="B75">
        <v>0</v>
      </c>
      <c r="C75">
        <v>0</v>
      </c>
      <c r="D75">
        <v>79408.479999999996</v>
      </c>
      <c r="E75">
        <v>79408.479999999996</v>
      </c>
      <c r="F75">
        <v>724836.55</v>
      </c>
      <c r="G75">
        <v>724836.55</v>
      </c>
      <c r="H75">
        <v>724836.55</v>
      </c>
      <c r="I75">
        <v>724836.55</v>
      </c>
      <c r="J75">
        <v>3302668.13</v>
      </c>
      <c r="K75">
        <v>3302668.13</v>
      </c>
      <c r="L75">
        <v>3302668.13</v>
      </c>
      <c r="M75">
        <v>79408.479999999996</v>
      </c>
      <c r="N75">
        <v>724836.55</v>
      </c>
      <c r="O75">
        <v>3302668.13</v>
      </c>
    </row>
    <row r="76" spans="1:15">
      <c r="A76" t="s">
        <v>94</v>
      </c>
    </row>
    <row r="77" spans="1:15">
      <c r="A77" t="s">
        <v>51</v>
      </c>
      <c r="B77">
        <v>0</v>
      </c>
      <c r="C77">
        <v>0</v>
      </c>
      <c r="D77">
        <v>0</v>
      </c>
      <c r="E77">
        <v>0</v>
      </c>
      <c r="F77">
        <v>0</v>
      </c>
      <c r="G77">
        <v>0</v>
      </c>
      <c r="H77">
        <v>0</v>
      </c>
      <c r="I77">
        <v>6281142.4800000004</v>
      </c>
      <c r="J77">
        <v>0</v>
      </c>
      <c r="K77">
        <v>5910534.7199999997</v>
      </c>
      <c r="L77">
        <v>11413918.51</v>
      </c>
      <c r="M77">
        <v>24078887.539999999</v>
      </c>
      <c r="N77">
        <v>22757066.780000001</v>
      </c>
      <c r="O77">
        <v>21519378.289999999</v>
      </c>
    </row>
    <row r="78" spans="1:15">
      <c r="A78" t="s">
        <v>55</v>
      </c>
      <c r="B78">
        <v>0</v>
      </c>
      <c r="C78">
        <v>0</v>
      </c>
      <c r="D78">
        <v>0</v>
      </c>
      <c r="E78">
        <v>0</v>
      </c>
      <c r="F78">
        <v>0</v>
      </c>
      <c r="G78">
        <v>0</v>
      </c>
      <c r="H78">
        <v>0</v>
      </c>
      <c r="I78">
        <v>6281142.4800000004</v>
      </c>
      <c r="J78">
        <v>0</v>
      </c>
      <c r="K78">
        <v>5910534.7199999997</v>
      </c>
      <c r="L78">
        <v>11413918.51</v>
      </c>
      <c r="M78">
        <v>24078887.539999999</v>
      </c>
      <c r="N78">
        <v>22757066.780000001</v>
      </c>
      <c r="O78">
        <v>21519378.289999999</v>
      </c>
    </row>
    <row r="79" spans="1:15">
      <c r="A79" t="s">
        <v>53</v>
      </c>
      <c r="B79">
        <v>0</v>
      </c>
      <c r="C79">
        <v>0</v>
      </c>
      <c r="D79">
        <v>0</v>
      </c>
      <c r="E79">
        <v>0</v>
      </c>
      <c r="F79">
        <v>0</v>
      </c>
      <c r="G79">
        <v>0</v>
      </c>
      <c r="H79">
        <v>0</v>
      </c>
      <c r="I79">
        <v>6281142.4800000004</v>
      </c>
      <c r="J79">
        <v>0</v>
      </c>
      <c r="K79">
        <v>5910534.7199999997</v>
      </c>
      <c r="L79">
        <v>11413918.51</v>
      </c>
      <c r="M79">
        <v>24078887.539999999</v>
      </c>
      <c r="N79">
        <v>22757066.780000001</v>
      </c>
      <c r="O79">
        <v>21519378.289999999</v>
      </c>
    </row>
    <row r="80" spans="1:15">
      <c r="A80" t="s">
        <v>65</v>
      </c>
      <c r="B80">
        <v>0</v>
      </c>
      <c r="C80">
        <v>0</v>
      </c>
      <c r="D80">
        <v>0</v>
      </c>
      <c r="E80">
        <v>0</v>
      </c>
      <c r="F80">
        <v>0</v>
      </c>
      <c r="G80">
        <v>0</v>
      </c>
      <c r="H80">
        <v>0</v>
      </c>
      <c r="I80">
        <v>6281142.4800000004</v>
      </c>
      <c r="J80">
        <v>0</v>
      </c>
      <c r="K80">
        <v>5910534.7199999997</v>
      </c>
      <c r="L80">
        <v>11413918.51</v>
      </c>
      <c r="M80">
        <v>24078887.539999999</v>
      </c>
      <c r="N80">
        <v>22757066.780000001</v>
      </c>
      <c r="O80">
        <v>21519378.289999999</v>
      </c>
    </row>
    <row r="81" spans="1:15">
      <c r="A81" t="s">
        <v>95</v>
      </c>
    </row>
    <row r="82" spans="1:15">
      <c r="A82" t="s">
        <v>51</v>
      </c>
      <c r="B82">
        <v>0</v>
      </c>
      <c r="C82">
        <v>0</v>
      </c>
      <c r="D82">
        <v>0</v>
      </c>
      <c r="E82">
        <v>0</v>
      </c>
      <c r="F82">
        <v>0</v>
      </c>
      <c r="G82">
        <v>0</v>
      </c>
      <c r="H82">
        <v>0</v>
      </c>
      <c r="I82">
        <v>583556.91</v>
      </c>
      <c r="J82">
        <v>0</v>
      </c>
      <c r="K82">
        <v>1014623.03</v>
      </c>
      <c r="L82">
        <v>2360988.2200000002</v>
      </c>
      <c r="M82">
        <v>10644092.23</v>
      </c>
      <c r="N82">
        <v>11681121.67</v>
      </c>
      <c r="O82">
        <v>13287213.75</v>
      </c>
    </row>
    <row r="83" spans="1:15">
      <c r="A83" t="s">
        <v>55</v>
      </c>
      <c r="B83">
        <v>0</v>
      </c>
      <c r="C83">
        <v>0</v>
      </c>
      <c r="D83">
        <v>0</v>
      </c>
      <c r="E83">
        <v>0</v>
      </c>
      <c r="F83">
        <v>0</v>
      </c>
      <c r="G83">
        <v>0</v>
      </c>
      <c r="H83">
        <v>0</v>
      </c>
      <c r="I83">
        <v>583556.91</v>
      </c>
      <c r="J83">
        <v>0</v>
      </c>
      <c r="K83">
        <v>1014623.03</v>
      </c>
      <c r="L83">
        <v>2360988.2200000002</v>
      </c>
      <c r="M83">
        <v>10644092.23</v>
      </c>
      <c r="N83">
        <v>11681121.67</v>
      </c>
      <c r="O83">
        <v>13287213.75</v>
      </c>
    </row>
    <row r="84" spans="1:15">
      <c r="A84" t="s">
        <v>53</v>
      </c>
      <c r="B84">
        <v>0</v>
      </c>
      <c r="C84">
        <v>0</v>
      </c>
      <c r="D84">
        <v>0</v>
      </c>
      <c r="E84">
        <v>0</v>
      </c>
      <c r="F84">
        <v>0</v>
      </c>
      <c r="G84">
        <v>0</v>
      </c>
      <c r="H84">
        <v>0</v>
      </c>
      <c r="I84">
        <v>583556.91</v>
      </c>
      <c r="J84">
        <v>0</v>
      </c>
      <c r="K84">
        <v>1014623.03</v>
      </c>
      <c r="L84">
        <v>2360988.2200000002</v>
      </c>
      <c r="M84">
        <v>10644092.23</v>
      </c>
      <c r="N84">
        <v>11681121.67</v>
      </c>
      <c r="O84">
        <v>13287213.75</v>
      </c>
    </row>
    <row r="85" spans="1:15">
      <c r="A85" t="s">
        <v>65</v>
      </c>
      <c r="B85">
        <v>0</v>
      </c>
      <c r="C85">
        <v>0</v>
      </c>
      <c r="D85">
        <v>0</v>
      </c>
      <c r="E85">
        <v>0</v>
      </c>
      <c r="F85">
        <v>0</v>
      </c>
      <c r="G85">
        <v>0</v>
      </c>
      <c r="H85">
        <v>0</v>
      </c>
      <c r="I85">
        <v>583556.91</v>
      </c>
      <c r="J85">
        <v>0</v>
      </c>
      <c r="K85">
        <v>1014623.03</v>
      </c>
      <c r="L85">
        <v>2360988.2200000002</v>
      </c>
      <c r="M85">
        <v>10644092.23</v>
      </c>
      <c r="N85">
        <v>11681121.67</v>
      </c>
      <c r="O85">
        <v>13287213.75</v>
      </c>
    </row>
    <row r="86" spans="1:15">
      <c r="A86" t="s">
        <v>109</v>
      </c>
      <c r="C86" s="9"/>
      <c r="D86" s="9"/>
      <c r="H86" s="9"/>
      <c r="I86" s="9"/>
      <c r="J86" s="9"/>
      <c r="L86" s="9"/>
    </row>
    <row r="87" spans="1:15">
      <c r="A87" t="s">
        <v>110</v>
      </c>
      <c r="B87" s="9">
        <v>0</v>
      </c>
      <c r="C87" s="9">
        <v>0</v>
      </c>
      <c r="D87" s="9">
        <v>0</v>
      </c>
      <c r="E87" s="9">
        <v>0</v>
      </c>
      <c r="F87" s="9">
        <v>0</v>
      </c>
      <c r="G87" s="9">
        <v>0</v>
      </c>
      <c r="H87" s="7">
        <v>0</v>
      </c>
      <c r="I87" s="7">
        <v>0</v>
      </c>
      <c r="J87" s="9">
        <v>0</v>
      </c>
      <c r="K87" s="9">
        <v>0</v>
      </c>
      <c r="L87" s="9">
        <v>0</v>
      </c>
      <c r="M87" s="9">
        <v>0</v>
      </c>
      <c r="N87" s="9">
        <v>0</v>
      </c>
      <c r="O87" s="9">
        <v>0</v>
      </c>
    </row>
    <row r="88" spans="1:15">
      <c r="A88" t="s">
        <v>112</v>
      </c>
      <c r="B88" s="9">
        <v>0</v>
      </c>
      <c r="C88" s="7">
        <v>0</v>
      </c>
      <c r="D88" s="7">
        <v>0</v>
      </c>
      <c r="E88" s="7">
        <v>0</v>
      </c>
      <c r="F88" s="7">
        <v>0</v>
      </c>
      <c r="G88" s="9">
        <v>0</v>
      </c>
      <c r="H88" s="9">
        <v>0</v>
      </c>
      <c r="I88" s="9">
        <v>0</v>
      </c>
      <c r="J88" s="9">
        <v>0</v>
      </c>
      <c r="K88" s="9">
        <v>0</v>
      </c>
      <c r="L88" s="7">
        <v>0</v>
      </c>
      <c r="M88" s="7">
        <v>0</v>
      </c>
      <c r="N88" s="7">
        <v>0</v>
      </c>
      <c r="O88" s="7">
        <v>0</v>
      </c>
    </row>
    <row r="89" spans="1:15">
      <c r="A89" t="s">
        <v>113</v>
      </c>
      <c r="B89" s="7">
        <v>0</v>
      </c>
      <c r="C89" s="7">
        <v>0</v>
      </c>
      <c r="D89" s="9">
        <v>0</v>
      </c>
      <c r="E89" s="9">
        <v>0</v>
      </c>
      <c r="F89" s="9">
        <v>0</v>
      </c>
      <c r="G89" s="9">
        <v>0</v>
      </c>
      <c r="H89" s="7">
        <v>0</v>
      </c>
      <c r="I89" s="7">
        <v>0</v>
      </c>
      <c r="J89" s="7">
        <v>0</v>
      </c>
      <c r="K89" s="7">
        <v>0</v>
      </c>
      <c r="L89">
        <v>0</v>
      </c>
      <c r="M89">
        <v>0</v>
      </c>
      <c r="N89">
        <v>0</v>
      </c>
      <c r="O89">
        <v>0</v>
      </c>
    </row>
    <row r="90" spans="1:15">
      <c r="A90" t="s">
        <v>114</v>
      </c>
      <c r="B90" s="7"/>
      <c r="C90" s="9"/>
      <c r="D90" s="7"/>
      <c r="E90" s="7"/>
      <c r="F90" s="7"/>
      <c r="G90" s="7"/>
    </row>
    <row r="91" spans="1:15">
      <c r="A91" t="s">
        <v>115</v>
      </c>
      <c r="B91" s="9">
        <v>0</v>
      </c>
      <c r="C91" s="7">
        <v>0</v>
      </c>
      <c r="D91" s="9">
        <v>0</v>
      </c>
      <c r="E91">
        <v>0</v>
      </c>
      <c r="F91">
        <v>0</v>
      </c>
      <c r="G91">
        <v>0</v>
      </c>
      <c r="H91" s="9">
        <v>0</v>
      </c>
      <c r="I91" s="9">
        <v>0</v>
      </c>
      <c r="J91" s="9">
        <v>0</v>
      </c>
      <c r="K91">
        <v>0</v>
      </c>
      <c r="L91" s="9">
        <v>0</v>
      </c>
      <c r="M91">
        <v>0</v>
      </c>
      <c r="N91">
        <v>0</v>
      </c>
      <c r="O91">
        <v>0</v>
      </c>
    </row>
    <row r="92" spans="1:15">
      <c r="A92" t="s">
        <v>117</v>
      </c>
      <c r="B92" s="7">
        <v>0</v>
      </c>
      <c r="C92" s="9">
        <v>0</v>
      </c>
      <c r="D92" s="9">
        <v>0</v>
      </c>
      <c r="E92" s="9">
        <v>0</v>
      </c>
      <c r="F92" s="9">
        <v>0</v>
      </c>
      <c r="G92" s="9">
        <v>0</v>
      </c>
      <c r="H92" s="7">
        <v>0</v>
      </c>
      <c r="I92" s="7">
        <v>0</v>
      </c>
      <c r="J92" s="9">
        <v>0</v>
      </c>
      <c r="K92" s="9">
        <v>0</v>
      </c>
      <c r="L92" s="9">
        <v>0</v>
      </c>
      <c r="M92" s="9">
        <v>0</v>
      </c>
      <c r="N92" s="9">
        <v>0</v>
      </c>
      <c r="O92" s="9">
        <v>0</v>
      </c>
    </row>
    <row r="93" spans="1:15">
      <c r="A93" t="s">
        <v>118</v>
      </c>
      <c r="B93" s="9">
        <v>0</v>
      </c>
      <c r="C93" s="7">
        <v>0</v>
      </c>
      <c r="D93" s="7">
        <v>0</v>
      </c>
      <c r="E93" s="7">
        <v>0</v>
      </c>
      <c r="F93" s="7">
        <v>0</v>
      </c>
      <c r="G93" s="9">
        <v>0</v>
      </c>
      <c r="H93" s="9">
        <v>0</v>
      </c>
      <c r="I93" s="9">
        <v>0</v>
      </c>
      <c r="J93" s="9">
        <v>0</v>
      </c>
      <c r="K93" s="9">
        <v>0</v>
      </c>
      <c r="L93" s="7">
        <v>0</v>
      </c>
      <c r="M93" s="7">
        <v>0</v>
      </c>
      <c r="N93" s="7">
        <v>0</v>
      </c>
      <c r="O93" s="7">
        <v>0</v>
      </c>
    </row>
    <row r="94" spans="1:15">
      <c r="A94" t="s">
        <v>50</v>
      </c>
      <c r="B94" s="7">
        <v>0</v>
      </c>
      <c r="C94" s="7">
        <v>0</v>
      </c>
      <c r="D94" s="9">
        <v>0</v>
      </c>
      <c r="E94" s="9">
        <v>0</v>
      </c>
      <c r="F94" s="9">
        <v>0</v>
      </c>
      <c r="G94" s="9">
        <v>0</v>
      </c>
      <c r="H94" s="7">
        <v>0</v>
      </c>
      <c r="I94" s="7">
        <v>0</v>
      </c>
      <c r="J94" s="7">
        <v>0</v>
      </c>
      <c r="K94" s="7">
        <v>0</v>
      </c>
      <c r="L94">
        <v>0</v>
      </c>
      <c r="M94">
        <v>0</v>
      </c>
      <c r="N94">
        <v>0</v>
      </c>
      <c r="O94">
        <v>0</v>
      </c>
    </row>
    <row r="95" spans="1:15">
      <c r="A95" t="s">
        <v>119</v>
      </c>
      <c r="B95" s="7">
        <v>0</v>
      </c>
      <c r="C95" s="9">
        <v>0</v>
      </c>
      <c r="D95" s="7">
        <v>0</v>
      </c>
      <c r="E95" s="7">
        <v>0</v>
      </c>
      <c r="F95" s="7">
        <v>0</v>
      </c>
      <c r="G95" s="7">
        <v>0</v>
      </c>
      <c r="H95">
        <v>0</v>
      </c>
      <c r="I95">
        <v>0</v>
      </c>
      <c r="J95">
        <v>0</v>
      </c>
      <c r="K95">
        <v>0</v>
      </c>
      <c r="L95">
        <v>0</v>
      </c>
      <c r="M95">
        <v>0</v>
      </c>
      <c r="N95">
        <v>0</v>
      </c>
      <c r="O95">
        <v>0</v>
      </c>
    </row>
    <row r="96" spans="1:15">
      <c r="A96" t="s">
        <v>51</v>
      </c>
      <c r="B96" s="9">
        <v>0.56999999999999995</v>
      </c>
      <c r="C96" s="7">
        <v>0.56999999999999995</v>
      </c>
      <c r="D96">
        <v>0.56999999999999995</v>
      </c>
      <c r="E96">
        <v>0.56999999999999995</v>
      </c>
      <c r="F96">
        <v>0.56999999999999995</v>
      </c>
      <c r="G96">
        <v>0.56999999999999995</v>
      </c>
      <c r="H96">
        <v>0.56999999999999995</v>
      </c>
      <c r="I96">
        <v>0.56999999999999995</v>
      </c>
      <c r="J96">
        <v>0.56999999999999995</v>
      </c>
      <c r="K96">
        <v>0.56999999999999995</v>
      </c>
      <c r="L96">
        <v>0.56999999999999995</v>
      </c>
      <c r="M96">
        <v>0.56999999999999995</v>
      </c>
      <c r="N96">
        <v>0.56999999999999995</v>
      </c>
      <c r="O96">
        <v>0.56999999999999995</v>
      </c>
    </row>
    <row r="97" spans="1:15">
      <c r="A97" t="s">
        <v>53</v>
      </c>
      <c r="B97" s="7">
        <v>179.51</v>
      </c>
      <c r="C97">
        <v>179.51</v>
      </c>
      <c r="D97">
        <v>179.51</v>
      </c>
      <c r="E97">
        <v>179.51</v>
      </c>
      <c r="F97">
        <v>179.51</v>
      </c>
      <c r="G97">
        <v>179.51</v>
      </c>
      <c r="H97">
        <v>179.51</v>
      </c>
      <c r="I97">
        <v>179.51</v>
      </c>
      <c r="J97">
        <v>179.51</v>
      </c>
      <c r="K97">
        <v>179.51</v>
      </c>
      <c r="L97">
        <v>179.51</v>
      </c>
      <c r="M97">
        <v>179.51</v>
      </c>
      <c r="N97">
        <v>179.51</v>
      </c>
      <c r="O97">
        <v>179.51</v>
      </c>
    </row>
    <row r="98" spans="1:15">
      <c r="A98" t="s">
        <v>55</v>
      </c>
      <c r="B98">
        <v>359.52</v>
      </c>
      <c r="C98">
        <v>359.52</v>
      </c>
      <c r="D98">
        <v>359.52</v>
      </c>
      <c r="E98">
        <v>359.52</v>
      </c>
      <c r="F98">
        <v>359.52</v>
      </c>
      <c r="G98">
        <v>359.52</v>
      </c>
      <c r="H98">
        <v>359.52</v>
      </c>
      <c r="I98">
        <v>359.52</v>
      </c>
      <c r="J98">
        <v>359.52</v>
      </c>
      <c r="K98">
        <v>359.52</v>
      </c>
      <c r="L98">
        <v>359.52</v>
      </c>
      <c r="M98">
        <v>359.52</v>
      </c>
      <c r="N98">
        <v>359.52</v>
      </c>
      <c r="O98">
        <v>359.52</v>
      </c>
    </row>
    <row r="99" spans="1:15">
      <c r="A99" t="s">
        <v>123</v>
      </c>
    </row>
    <row r="100" spans="1:15">
      <c r="A100" t="s">
        <v>125</v>
      </c>
      <c r="C100" s="7"/>
      <c r="D100" s="7"/>
      <c r="H100" s="7"/>
      <c r="I100" s="7"/>
      <c r="J100" s="7"/>
      <c r="L100" s="7"/>
    </row>
    <row r="101" spans="1:15">
      <c r="A101" t="s">
        <v>124</v>
      </c>
      <c r="B101" s="7"/>
      <c r="C101" s="7"/>
      <c r="D101" s="7"/>
      <c r="E101" s="7"/>
      <c r="F101" s="7"/>
      <c r="G101" s="7"/>
      <c r="H101" s="7"/>
      <c r="I101" s="7"/>
      <c r="J101" s="7"/>
      <c r="K101" s="7"/>
      <c r="L101" s="7"/>
      <c r="M101" s="7"/>
      <c r="N101" s="7"/>
      <c r="O101" s="7"/>
    </row>
    <row r="102" spans="1:15">
      <c r="A102" t="s">
        <v>30</v>
      </c>
      <c r="B102" s="7"/>
      <c r="C102" s="7"/>
      <c r="D102" s="7"/>
      <c r="E102" s="7"/>
      <c r="F102" s="7"/>
      <c r="G102" s="7"/>
      <c r="H102" s="7"/>
      <c r="I102" s="7"/>
      <c r="J102" s="7"/>
      <c r="K102" s="7"/>
      <c r="L102" s="7"/>
      <c r="M102" s="7"/>
      <c r="N102" s="7"/>
      <c r="O102" s="7"/>
    </row>
    <row r="103" spans="1:15">
      <c r="A103" t="s">
        <v>67</v>
      </c>
      <c r="B103" s="7">
        <v>0.99999925000000001</v>
      </c>
      <c r="C103" s="7">
        <v>0.99999912999999996</v>
      </c>
      <c r="D103" s="7">
        <v>0.99999925999999995</v>
      </c>
      <c r="E103" s="7">
        <v>0.99999914000000001</v>
      </c>
      <c r="F103" s="7">
        <v>0.99999903000000001</v>
      </c>
      <c r="G103" s="7">
        <v>0.99999932000000002</v>
      </c>
      <c r="H103" s="7">
        <v>0.99999965999999996</v>
      </c>
      <c r="I103" s="7">
        <v>0.99999906999999999</v>
      </c>
      <c r="J103" s="7">
        <v>0.99999932999999996</v>
      </c>
      <c r="K103" s="7">
        <v>0.99999919999999998</v>
      </c>
      <c r="L103" s="9">
        <v>0.99999906000000005</v>
      </c>
      <c r="M103" s="9">
        <v>0.99999941999999997</v>
      </c>
      <c r="N103" s="9">
        <v>0.99999950999999998</v>
      </c>
      <c r="O103" s="9">
        <v>0.99999937999999999</v>
      </c>
    </row>
    <row r="104" spans="1:15">
      <c r="A104" t="s">
        <v>68</v>
      </c>
      <c r="B104" s="7">
        <v>1</v>
      </c>
      <c r="C104" s="7">
        <v>1</v>
      </c>
      <c r="D104" s="7">
        <v>1</v>
      </c>
      <c r="E104" s="7">
        <v>1</v>
      </c>
      <c r="F104" s="7">
        <v>1</v>
      </c>
      <c r="G104" s="7">
        <v>1</v>
      </c>
      <c r="H104" s="9">
        <v>1</v>
      </c>
      <c r="I104" s="9">
        <v>1</v>
      </c>
      <c r="J104" s="9">
        <v>1</v>
      </c>
      <c r="K104" s="9">
        <v>1</v>
      </c>
      <c r="L104" s="7">
        <v>1</v>
      </c>
      <c r="M104" s="7">
        <v>1</v>
      </c>
      <c r="N104" s="7">
        <v>1</v>
      </c>
      <c r="O104" s="7">
        <v>1</v>
      </c>
    </row>
    <row r="105" spans="1:15">
      <c r="A105" t="s">
        <v>69</v>
      </c>
      <c r="B105">
        <v>39311909.450000003</v>
      </c>
      <c r="C105">
        <v>39311904.460000001</v>
      </c>
      <c r="D105">
        <v>39311909.829999998</v>
      </c>
      <c r="E105">
        <v>39311904.789999999</v>
      </c>
      <c r="F105">
        <v>39311900.619999997</v>
      </c>
      <c r="G105">
        <v>39311912</v>
      </c>
      <c r="H105">
        <v>39311925.32</v>
      </c>
      <c r="I105">
        <v>39311902.039999999</v>
      </c>
      <c r="J105">
        <v>39311912.32</v>
      </c>
      <c r="K105">
        <v>39311907.270000003</v>
      </c>
      <c r="L105">
        <v>39311901.759999998</v>
      </c>
      <c r="M105">
        <v>39311915.840000004</v>
      </c>
      <c r="N105">
        <v>39311919.649999999</v>
      </c>
      <c r="O105">
        <v>39311914.469999999</v>
      </c>
    </row>
    <row r="106" spans="1:15">
      <c r="A106" t="s">
        <v>71</v>
      </c>
      <c r="B106">
        <v>29.34</v>
      </c>
      <c r="C106">
        <v>34.32</v>
      </c>
      <c r="D106">
        <v>28.95</v>
      </c>
      <c r="E106">
        <v>33.99</v>
      </c>
      <c r="F106">
        <v>38.159999999999997</v>
      </c>
      <c r="G106">
        <v>26.78</v>
      </c>
      <c r="H106">
        <v>13.46</v>
      </c>
      <c r="I106">
        <v>36.74</v>
      </c>
      <c r="J106">
        <v>26.46</v>
      </c>
      <c r="K106">
        <v>31.51</v>
      </c>
      <c r="L106">
        <v>37.020000000000003</v>
      </c>
      <c r="M106">
        <v>22.94</v>
      </c>
      <c r="N106">
        <v>19.13</v>
      </c>
      <c r="O106">
        <v>24.31</v>
      </c>
    </row>
    <row r="107" spans="1:15">
      <c r="A107" t="s">
        <v>72</v>
      </c>
      <c r="B107" s="7"/>
      <c r="C107" s="7"/>
      <c r="D107" s="7"/>
      <c r="E107" s="7"/>
      <c r="F107" s="7"/>
      <c r="G107" s="7"/>
      <c r="H107" s="9"/>
      <c r="I107" s="9"/>
      <c r="J107" s="9"/>
      <c r="K107" s="9"/>
      <c r="L107" s="9"/>
      <c r="M107" s="9"/>
      <c r="N107" s="7"/>
      <c r="O107" s="9"/>
    </row>
    <row r="108" spans="1:15">
      <c r="A108" t="s">
        <v>73</v>
      </c>
      <c r="B108">
        <v>0.99999927</v>
      </c>
      <c r="C108">
        <v>0.99999916</v>
      </c>
      <c r="D108">
        <v>0.99999928000000005</v>
      </c>
      <c r="E108">
        <v>0.99999917000000005</v>
      </c>
      <c r="F108">
        <v>0.99999905</v>
      </c>
      <c r="G108">
        <v>0.99999934999999995</v>
      </c>
      <c r="H108">
        <v>0.99999967999999995</v>
      </c>
      <c r="I108">
        <v>0.99999910999999997</v>
      </c>
      <c r="J108">
        <v>0.99999934000000001</v>
      </c>
      <c r="K108">
        <v>0.99999923999999996</v>
      </c>
      <c r="L108">
        <v>0.99999908999999998</v>
      </c>
      <c r="M108">
        <v>0.99999943999999996</v>
      </c>
      <c r="N108">
        <v>0.99999954000000002</v>
      </c>
      <c r="O108">
        <v>0.99999941000000003</v>
      </c>
    </row>
    <row r="109" spans="1:15">
      <c r="A109" t="s">
        <v>74</v>
      </c>
      <c r="B109">
        <v>1</v>
      </c>
      <c r="C109">
        <v>1</v>
      </c>
      <c r="D109">
        <v>1</v>
      </c>
      <c r="E109">
        <v>1</v>
      </c>
      <c r="F109">
        <v>1</v>
      </c>
      <c r="G109">
        <v>1</v>
      </c>
      <c r="H109">
        <v>1</v>
      </c>
      <c r="I109">
        <v>1</v>
      </c>
      <c r="J109">
        <v>1</v>
      </c>
      <c r="K109">
        <v>1</v>
      </c>
      <c r="L109">
        <v>1</v>
      </c>
      <c r="M109">
        <v>1</v>
      </c>
      <c r="N109">
        <v>1</v>
      </c>
      <c r="O109">
        <v>1</v>
      </c>
    </row>
    <row r="110" spans="1:15">
      <c r="A110" t="s">
        <v>75</v>
      </c>
      <c r="B110">
        <v>39311909.450000003</v>
      </c>
      <c r="C110">
        <v>39311901.18</v>
      </c>
      <c r="D110">
        <v>39311909.829999998</v>
      </c>
      <c r="E110">
        <v>39311901.5</v>
      </c>
      <c r="F110">
        <v>39311900.619999997</v>
      </c>
      <c r="G110">
        <v>39311908.719999999</v>
      </c>
      <c r="H110">
        <v>39311921.689999998</v>
      </c>
      <c r="I110">
        <v>39311899.07</v>
      </c>
      <c r="J110">
        <v>39311912.32</v>
      </c>
      <c r="K110">
        <v>39311904.299999997</v>
      </c>
      <c r="L110">
        <v>39311898.619999997</v>
      </c>
      <c r="M110">
        <v>39311912.380000003</v>
      </c>
      <c r="N110">
        <v>39311916.189999998</v>
      </c>
      <c r="O110">
        <v>39311911.009999998</v>
      </c>
    </row>
    <row r="111" spans="1:15">
      <c r="A111" t="s">
        <v>76</v>
      </c>
      <c r="B111">
        <v>28.68</v>
      </c>
      <c r="C111">
        <v>33.03</v>
      </c>
      <c r="D111">
        <v>28.3</v>
      </c>
      <c r="E111">
        <v>32.71</v>
      </c>
      <c r="F111">
        <v>37.5</v>
      </c>
      <c r="G111">
        <v>25.49</v>
      </c>
      <c r="H111">
        <v>12.52</v>
      </c>
      <c r="I111">
        <v>35.14</v>
      </c>
      <c r="J111">
        <v>25.81</v>
      </c>
      <c r="K111">
        <v>29.91</v>
      </c>
      <c r="L111">
        <v>35.590000000000003</v>
      </c>
      <c r="M111">
        <v>21.83</v>
      </c>
      <c r="N111">
        <v>18.03</v>
      </c>
      <c r="O111">
        <v>23.2</v>
      </c>
    </row>
    <row r="112" spans="1:15">
      <c r="A112" t="s">
        <v>126</v>
      </c>
      <c r="B112" s="7"/>
      <c r="C112" s="7"/>
      <c r="D112" s="9"/>
      <c r="E112" s="9"/>
      <c r="F112" s="9"/>
      <c r="G112" s="9"/>
      <c r="H112" s="7"/>
      <c r="I112" s="7"/>
      <c r="J112" s="7"/>
      <c r="K112" s="7"/>
      <c r="L112" s="7"/>
      <c r="M112" s="7"/>
      <c r="N112" s="7"/>
      <c r="O112" s="7"/>
    </row>
    <row r="113" spans="1:15">
      <c r="A113" t="s">
        <v>51</v>
      </c>
      <c r="B113">
        <v>0.17</v>
      </c>
      <c r="C113">
        <v>1.17</v>
      </c>
      <c r="D113">
        <v>0.17</v>
      </c>
      <c r="E113">
        <v>1.17</v>
      </c>
      <c r="F113">
        <v>0.17</v>
      </c>
      <c r="G113">
        <v>1.17</v>
      </c>
      <c r="H113">
        <v>1.17</v>
      </c>
      <c r="I113">
        <v>1.17</v>
      </c>
      <c r="J113">
        <v>0.17</v>
      </c>
      <c r="K113">
        <v>1.17</v>
      </c>
      <c r="L113">
        <v>1.17</v>
      </c>
      <c r="M113">
        <v>1.17</v>
      </c>
      <c r="N113">
        <v>1.17</v>
      </c>
      <c r="O113">
        <v>1.17</v>
      </c>
    </row>
    <row r="114" spans="1:15">
      <c r="A114" t="s">
        <v>55</v>
      </c>
      <c r="B114">
        <v>0.17</v>
      </c>
      <c r="C114">
        <v>1.17</v>
      </c>
      <c r="D114">
        <v>0.17</v>
      </c>
      <c r="E114">
        <v>1.17</v>
      </c>
      <c r="F114">
        <v>0.17</v>
      </c>
      <c r="G114">
        <v>1.17</v>
      </c>
      <c r="H114">
        <v>1.17</v>
      </c>
      <c r="I114">
        <v>1.17</v>
      </c>
      <c r="J114">
        <v>0.17</v>
      </c>
      <c r="K114">
        <v>1.17</v>
      </c>
      <c r="L114">
        <v>1.17</v>
      </c>
      <c r="M114">
        <v>1.17</v>
      </c>
      <c r="N114">
        <v>1.17</v>
      </c>
      <c r="O114">
        <v>1.17</v>
      </c>
    </row>
    <row r="115" spans="1:15">
      <c r="A115" t="s">
        <v>53</v>
      </c>
      <c r="B115">
        <v>0.17</v>
      </c>
      <c r="C115">
        <v>1.17</v>
      </c>
      <c r="D115">
        <v>0.17</v>
      </c>
      <c r="E115">
        <v>1.17</v>
      </c>
      <c r="F115">
        <v>0.17</v>
      </c>
      <c r="G115">
        <v>1.17</v>
      </c>
      <c r="H115">
        <v>1.17</v>
      </c>
      <c r="I115">
        <v>1.17</v>
      </c>
      <c r="J115">
        <v>0.17</v>
      </c>
      <c r="K115">
        <v>1.17</v>
      </c>
      <c r="L115">
        <v>1.17</v>
      </c>
      <c r="M115">
        <v>1.17</v>
      </c>
      <c r="N115">
        <v>1.17</v>
      </c>
      <c r="O115">
        <v>1.17</v>
      </c>
    </row>
    <row r="116" spans="1:15">
      <c r="A116" t="s">
        <v>127</v>
      </c>
      <c r="B116" s="7"/>
      <c r="C116" s="7"/>
      <c r="D116" s="7"/>
      <c r="E116" s="7"/>
      <c r="F116" s="7"/>
      <c r="G116" s="7"/>
      <c r="H116" s="7"/>
      <c r="I116" s="7"/>
      <c r="J116" s="7"/>
      <c r="K116" s="7"/>
    </row>
    <row r="117" spans="1:15">
      <c r="A117" t="s">
        <v>51</v>
      </c>
      <c r="B117" s="7">
        <v>0</v>
      </c>
      <c r="C117" s="7">
        <v>0</v>
      </c>
      <c r="D117" s="7">
        <v>0</v>
      </c>
      <c r="E117" s="7">
        <v>0</v>
      </c>
      <c r="F117" s="7">
        <v>0</v>
      </c>
      <c r="G117" s="7">
        <v>0</v>
      </c>
      <c r="H117" s="7">
        <v>0</v>
      </c>
      <c r="I117" s="7">
        <v>0</v>
      </c>
      <c r="J117" s="7">
        <v>0</v>
      </c>
      <c r="K117" s="7">
        <v>0</v>
      </c>
      <c r="L117" s="7">
        <v>0</v>
      </c>
      <c r="M117" s="7">
        <v>0</v>
      </c>
      <c r="N117" s="7">
        <v>0</v>
      </c>
      <c r="O117" s="7">
        <v>0</v>
      </c>
    </row>
    <row r="118" spans="1:15">
      <c r="A118" t="s">
        <v>55</v>
      </c>
      <c r="B118" s="7">
        <v>0</v>
      </c>
      <c r="C118" s="7">
        <v>0</v>
      </c>
      <c r="D118" s="7">
        <v>1</v>
      </c>
      <c r="E118" s="7">
        <v>1</v>
      </c>
      <c r="F118" s="7">
        <v>1</v>
      </c>
      <c r="G118" s="7">
        <v>1</v>
      </c>
      <c r="H118" s="9">
        <v>1</v>
      </c>
      <c r="I118" s="7">
        <v>1</v>
      </c>
      <c r="J118" s="7">
        <v>1</v>
      </c>
      <c r="K118" s="7">
        <v>1</v>
      </c>
      <c r="L118" s="7">
        <v>1</v>
      </c>
      <c r="M118" s="7">
        <v>1</v>
      </c>
      <c r="N118" s="7">
        <v>1</v>
      </c>
      <c r="O118" s="7">
        <v>1</v>
      </c>
    </row>
    <row r="119" spans="1:15">
      <c r="A119" t="s">
        <v>53</v>
      </c>
      <c r="B119" s="7">
        <v>0</v>
      </c>
      <c r="C119" s="9">
        <v>0</v>
      </c>
      <c r="D119" s="9">
        <v>0.1552</v>
      </c>
      <c r="E119" s="9">
        <v>0.1552</v>
      </c>
      <c r="F119" s="7">
        <v>0.2079</v>
      </c>
      <c r="G119" s="9">
        <v>0.2079</v>
      </c>
      <c r="H119" s="9">
        <v>0.2079</v>
      </c>
      <c r="I119" s="7">
        <v>0.37080000000000002</v>
      </c>
      <c r="J119" s="9">
        <v>0.26819999999999999</v>
      </c>
      <c r="K119" s="9">
        <v>0.41749999999999998</v>
      </c>
      <c r="L119" s="9">
        <v>0.55369999999999997</v>
      </c>
      <c r="M119" s="9">
        <v>0.76049999999999995</v>
      </c>
      <c r="N119" s="9">
        <v>0.76870000000000005</v>
      </c>
      <c r="O119" s="9">
        <v>0.78969999999999996</v>
      </c>
    </row>
    <row r="120" spans="1:15">
      <c r="A120" t="s">
        <v>128</v>
      </c>
      <c r="F120" s="9"/>
      <c r="H120" s="7"/>
      <c r="I120" s="9"/>
    </row>
    <row r="121" spans="1:15">
      <c r="A121" t="s">
        <v>129</v>
      </c>
      <c r="B121" s="7">
        <v>0</v>
      </c>
      <c r="C121" s="7">
        <v>0</v>
      </c>
      <c r="D121" s="7">
        <v>0</v>
      </c>
      <c r="E121" s="7">
        <v>0</v>
      </c>
      <c r="F121" s="7">
        <v>0</v>
      </c>
      <c r="G121" s="7">
        <v>0</v>
      </c>
      <c r="H121" s="9">
        <v>0</v>
      </c>
      <c r="I121" s="7">
        <v>0</v>
      </c>
      <c r="J121" s="7">
        <v>0</v>
      </c>
      <c r="K121" s="7">
        <v>0</v>
      </c>
      <c r="L121" s="7">
        <v>0</v>
      </c>
      <c r="M121" s="7">
        <v>0</v>
      </c>
      <c r="N121" s="7">
        <v>0</v>
      </c>
      <c r="O121" s="7">
        <v>0</v>
      </c>
    </row>
    <row r="122" spans="1:15">
      <c r="A122" t="s">
        <v>130</v>
      </c>
      <c r="B122" s="7">
        <v>0</v>
      </c>
      <c r="C122" s="9">
        <v>0</v>
      </c>
      <c r="D122" s="9">
        <v>0.50900000000000001</v>
      </c>
      <c r="E122" s="9">
        <v>0.50900000000000001</v>
      </c>
      <c r="F122" s="7">
        <v>0.50900000000000001</v>
      </c>
      <c r="G122" s="9">
        <v>0.50900000000000001</v>
      </c>
      <c r="H122" s="9">
        <v>0.50900000000000001</v>
      </c>
      <c r="I122" s="7">
        <v>4.5400000000000003E-2</v>
      </c>
      <c r="J122" s="9">
        <v>0.50900000000000001</v>
      </c>
      <c r="K122" s="9">
        <v>3.95E-2</v>
      </c>
      <c r="L122" s="9">
        <v>4.2700000000000002E-2</v>
      </c>
      <c r="M122" s="9">
        <v>4.07E-2</v>
      </c>
      <c r="N122" s="9">
        <v>4.2799999999999998E-2</v>
      </c>
      <c r="O122" s="9">
        <v>3.95E-2</v>
      </c>
    </row>
    <row r="123" spans="1:15">
      <c r="A123" t="s">
        <v>131</v>
      </c>
      <c r="B123" s="7">
        <v>0</v>
      </c>
      <c r="C123" s="9">
        <v>0</v>
      </c>
      <c r="D123" s="9">
        <v>0.26989999999999997</v>
      </c>
      <c r="E123" s="9">
        <v>0.26989999999999997</v>
      </c>
      <c r="F123" s="9">
        <v>0.21920000000000001</v>
      </c>
      <c r="G123" s="9">
        <v>0.21920000000000001</v>
      </c>
      <c r="H123" s="9">
        <v>0.21920000000000001</v>
      </c>
      <c r="I123" s="9">
        <v>0.41339999999999999</v>
      </c>
      <c r="J123" s="9">
        <v>0.16689999999999999</v>
      </c>
      <c r="K123" s="9">
        <v>0.39190000000000003</v>
      </c>
      <c r="L123" s="9">
        <v>0.1734</v>
      </c>
      <c r="M123" s="9">
        <v>0.1119</v>
      </c>
      <c r="N123" s="9">
        <v>0.1061</v>
      </c>
      <c r="O123" s="9">
        <v>9.6600000000000005E-2</v>
      </c>
    </row>
    <row r="124" spans="1:15">
      <c r="A124" t="s">
        <v>132</v>
      </c>
      <c r="B124" s="7">
        <v>0</v>
      </c>
      <c r="C124" s="9">
        <v>0</v>
      </c>
      <c r="D124" s="9">
        <v>9.4100000000000003E-2</v>
      </c>
      <c r="E124" s="9">
        <v>9.4100000000000003E-2</v>
      </c>
      <c r="F124" s="9">
        <v>8.6900000000000005E-2</v>
      </c>
      <c r="G124" s="9">
        <v>8.6900000000000005E-2</v>
      </c>
      <c r="H124" s="7">
        <v>8.6900000000000005E-2</v>
      </c>
      <c r="I124" s="7">
        <v>0.28289999999999998</v>
      </c>
      <c r="J124" s="7">
        <v>7.7299999999999994E-2</v>
      </c>
      <c r="K124" s="9">
        <v>0.25309999999999999</v>
      </c>
      <c r="L124" s="7">
        <v>0.25369999999999998</v>
      </c>
      <c r="M124" s="9">
        <v>7.4999999999999997E-2</v>
      </c>
      <c r="N124" s="9">
        <v>7.0599999999999996E-2</v>
      </c>
      <c r="O124" s="9">
        <v>6.2100000000000002E-2</v>
      </c>
    </row>
    <row r="125" spans="1:15">
      <c r="A125" t="s">
        <v>133</v>
      </c>
      <c r="B125" s="9">
        <v>0</v>
      </c>
      <c r="C125" s="9">
        <v>0</v>
      </c>
      <c r="D125" s="9">
        <v>6.3399999999999998E-2</v>
      </c>
      <c r="E125" s="9">
        <v>6.3399999999999998E-2</v>
      </c>
      <c r="F125" s="7">
        <v>5.8000000000000003E-2</v>
      </c>
      <c r="G125" s="7">
        <v>5.8000000000000003E-2</v>
      </c>
      <c r="H125" s="7">
        <v>5.8000000000000003E-2</v>
      </c>
      <c r="I125" s="7">
        <v>8.5099999999999995E-2</v>
      </c>
      <c r="J125" s="7">
        <v>4.7800000000000002E-2</v>
      </c>
      <c r="K125" s="7">
        <v>7.8100000000000003E-2</v>
      </c>
      <c r="L125" s="7">
        <v>0.2051</v>
      </c>
      <c r="M125" s="7">
        <v>9.7900000000000001E-2</v>
      </c>
      <c r="N125" s="7">
        <v>9.2799999999999994E-2</v>
      </c>
      <c r="O125" s="7">
        <v>8.5500000000000007E-2</v>
      </c>
    </row>
    <row r="126" spans="1:15">
      <c r="A126" t="s">
        <v>134</v>
      </c>
      <c r="B126" s="9">
        <v>0</v>
      </c>
      <c r="C126" s="7">
        <v>0</v>
      </c>
      <c r="D126" s="7">
        <v>6.3500000000000001E-2</v>
      </c>
      <c r="E126" s="7">
        <v>6.3500000000000001E-2</v>
      </c>
      <c r="F126" s="7">
        <v>0.12690000000000001</v>
      </c>
      <c r="G126" s="7">
        <v>0.12690000000000001</v>
      </c>
      <c r="H126" s="7">
        <v>0.12690000000000001</v>
      </c>
      <c r="I126" s="7">
        <v>0.17319999999999999</v>
      </c>
      <c r="J126" s="7">
        <v>0.19900000000000001</v>
      </c>
      <c r="K126" s="7">
        <v>0.2374</v>
      </c>
      <c r="L126" s="7">
        <v>0.3251</v>
      </c>
      <c r="M126" s="7">
        <v>0.67449999999999999</v>
      </c>
      <c r="N126" s="7">
        <v>0.68779999999999997</v>
      </c>
      <c r="O126" s="7">
        <v>0.71630000000000005</v>
      </c>
    </row>
    <row r="127" spans="1:15">
      <c r="A127" t="s">
        <v>135</v>
      </c>
      <c r="B127" s="7">
        <v>0</v>
      </c>
      <c r="C127" s="9">
        <v>0</v>
      </c>
      <c r="D127" s="9">
        <v>0</v>
      </c>
      <c r="E127" s="9">
        <v>0</v>
      </c>
      <c r="F127" s="9">
        <v>0</v>
      </c>
      <c r="G127" s="7">
        <v>0</v>
      </c>
      <c r="H127" s="7">
        <v>0</v>
      </c>
      <c r="I127" s="7">
        <v>0</v>
      </c>
      <c r="J127" s="7">
        <v>0</v>
      </c>
      <c r="K127" s="7">
        <v>0</v>
      </c>
      <c r="L127" s="9">
        <v>0</v>
      </c>
      <c r="M127" s="9">
        <v>0</v>
      </c>
      <c r="N127" s="9">
        <v>0</v>
      </c>
      <c r="O127" s="9">
        <v>0</v>
      </c>
    </row>
    <row r="128" spans="1:15">
      <c r="A128" t="s">
        <v>136</v>
      </c>
      <c r="B128" s="9">
        <v>0</v>
      </c>
      <c r="C128" s="9">
        <v>0</v>
      </c>
      <c r="D128" s="7">
        <v>0</v>
      </c>
      <c r="E128" s="7">
        <v>0</v>
      </c>
      <c r="F128" s="7">
        <v>0</v>
      </c>
      <c r="G128" s="7">
        <v>0</v>
      </c>
      <c r="H128" s="9">
        <v>0</v>
      </c>
      <c r="I128" s="9">
        <v>0</v>
      </c>
      <c r="J128" s="9">
        <v>0</v>
      </c>
      <c r="K128" s="9">
        <v>0</v>
      </c>
      <c r="L128" s="7">
        <v>0</v>
      </c>
      <c r="M128" s="7">
        <v>0</v>
      </c>
      <c r="N128" s="7">
        <v>0</v>
      </c>
      <c r="O128" s="7">
        <v>0</v>
      </c>
    </row>
    <row r="129" spans="1:15">
      <c r="A129" t="s">
        <v>137</v>
      </c>
      <c r="B129" s="9">
        <v>0</v>
      </c>
      <c r="C129" s="7">
        <v>0</v>
      </c>
      <c r="D129" s="9">
        <v>0</v>
      </c>
      <c r="E129" s="9">
        <v>0</v>
      </c>
      <c r="F129" s="9">
        <v>0</v>
      </c>
      <c r="G129" s="9">
        <v>0</v>
      </c>
      <c r="H129" s="9">
        <v>0</v>
      </c>
      <c r="I129" s="9">
        <v>0</v>
      </c>
      <c r="J129" s="7">
        <v>0</v>
      </c>
      <c r="K129" s="7">
        <v>0</v>
      </c>
      <c r="L129" s="7">
        <v>0</v>
      </c>
      <c r="M129" s="7">
        <v>0</v>
      </c>
      <c r="N129" s="7">
        <v>0</v>
      </c>
      <c r="O129" s="7">
        <v>0</v>
      </c>
    </row>
    <row r="130" spans="1:15">
      <c r="A130" t="s">
        <v>138</v>
      </c>
      <c r="B130" s="7">
        <v>0</v>
      </c>
      <c r="C130" s="9">
        <v>0</v>
      </c>
      <c r="D130" s="7">
        <v>0</v>
      </c>
      <c r="E130" s="7">
        <v>0</v>
      </c>
      <c r="F130" s="7">
        <v>0</v>
      </c>
      <c r="G130" s="7">
        <v>0</v>
      </c>
      <c r="H130" s="7">
        <v>0</v>
      </c>
      <c r="I130" s="7">
        <v>0</v>
      </c>
      <c r="J130" s="7">
        <v>0</v>
      </c>
      <c r="K130" s="7">
        <v>0</v>
      </c>
      <c r="L130" s="9">
        <v>0</v>
      </c>
      <c r="M130" s="9">
        <v>0</v>
      </c>
      <c r="N130" s="9">
        <v>0</v>
      </c>
      <c r="O130" s="9">
        <v>0</v>
      </c>
    </row>
    <row r="131" spans="1:15">
      <c r="A131" t="s">
        <v>139</v>
      </c>
      <c r="B131" s="9">
        <v>0</v>
      </c>
      <c r="C131" s="9">
        <v>0</v>
      </c>
      <c r="D131" s="7">
        <v>0</v>
      </c>
      <c r="E131" s="7">
        <v>0</v>
      </c>
      <c r="F131" s="7">
        <v>0</v>
      </c>
      <c r="G131" s="7">
        <v>0</v>
      </c>
      <c r="H131" s="7">
        <v>0</v>
      </c>
      <c r="I131" s="7">
        <v>0</v>
      </c>
      <c r="J131" s="7">
        <v>0</v>
      </c>
      <c r="K131" s="9">
        <v>0</v>
      </c>
      <c r="L131" s="7">
        <v>0</v>
      </c>
      <c r="M131" s="7">
        <v>0</v>
      </c>
      <c r="N131" s="7">
        <v>0</v>
      </c>
      <c r="O131" s="7">
        <v>0</v>
      </c>
    </row>
    <row r="132" spans="1:15">
      <c r="A132" t="s">
        <v>140</v>
      </c>
      <c r="B132" s="9"/>
      <c r="C132" s="7"/>
      <c r="D132" s="7"/>
      <c r="E132" s="7"/>
      <c r="F132" s="7"/>
      <c r="G132" s="7"/>
      <c r="H132" s="7"/>
      <c r="I132" s="7"/>
      <c r="J132" s="7"/>
      <c r="K132" s="7"/>
      <c r="L132" s="7"/>
      <c r="M132" s="9"/>
      <c r="N132" s="9"/>
      <c r="O132" s="9"/>
    </row>
    <row r="133" spans="1:15">
      <c r="A133" t="s">
        <v>51</v>
      </c>
      <c r="B133">
        <v>292540654</v>
      </c>
      <c r="C133">
        <v>2924399.56</v>
      </c>
      <c r="D133">
        <v>2629401.86</v>
      </c>
      <c r="E133">
        <v>2628948.84</v>
      </c>
      <c r="F133">
        <v>2506020.7200000002</v>
      </c>
      <c r="G133">
        <v>2506049.2000000002</v>
      </c>
      <c r="H133">
        <v>2505799.7400000002</v>
      </c>
      <c r="I133">
        <v>2082248.52</v>
      </c>
      <c r="J133">
        <v>2355091.42</v>
      </c>
      <c r="K133">
        <v>1956852.04</v>
      </c>
      <c r="L133">
        <v>1598948.13</v>
      </c>
      <c r="M133">
        <v>865763.35</v>
      </c>
      <c r="N133">
        <v>840021.02</v>
      </c>
      <c r="O133">
        <v>782983.25</v>
      </c>
    </row>
    <row r="134" spans="1:15">
      <c r="A134" t="s">
        <v>55</v>
      </c>
      <c r="B134">
        <v>2925406.54</v>
      </c>
      <c r="C134">
        <v>2924399.56</v>
      </c>
      <c r="D134">
        <v>2629401.86</v>
      </c>
      <c r="E134">
        <v>2628948.84</v>
      </c>
      <c r="F134">
        <v>2506020.7200000002</v>
      </c>
      <c r="G134">
        <v>2506049.2000000002</v>
      </c>
      <c r="H134">
        <v>2505799.7400000002</v>
      </c>
      <c r="I134">
        <v>2082248.52</v>
      </c>
      <c r="J134">
        <v>2355091.42</v>
      </c>
      <c r="K134">
        <v>1956852.04</v>
      </c>
      <c r="L134">
        <v>1598948.13</v>
      </c>
      <c r="M134">
        <v>865763.35</v>
      </c>
      <c r="N134">
        <v>840021.02</v>
      </c>
      <c r="O134">
        <v>782983.25</v>
      </c>
    </row>
    <row r="135" spans="1:15">
      <c r="A135" t="s">
        <v>53</v>
      </c>
      <c r="B135">
        <v>2925406.54</v>
      </c>
      <c r="C135">
        <v>2924399.56</v>
      </c>
      <c r="D135">
        <v>2629401.86</v>
      </c>
      <c r="E135">
        <v>2628948.84</v>
      </c>
      <c r="F135">
        <v>2506020.7200000002</v>
      </c>
      <c r="G135">
        <v>2506049.2000000002</v>
      </c>
      <c r="H135">
        <v>2505799.7400000002</v>
      </c>
      <c r="I135">
        <v>2082248.52</v>
      </c>
      <c r="J135">
        <v>2355091.42</v>
      </c>
      <c r="K135">
        <v>1956852.04</v>
      </c>
      <c r="L135">
        <v>1598948.13</v>
      </c>
      <c r="M135">
        <v>865763.35</v>
      </c>
      <c r="N135">
        <v>840021.02</v>
      </c>
      <c r="O135">
        <v>782983.25</v>
      </c>
    </row>
    <row r="136" spans="1:15">
      <c r="A136" t="s">
        <v>141</v>
      </c>
      <c r="B136" s="9"/>
      <c r="C136" s="9"/>
      <c r="D136" s="9"/>
      <c r="E136" s="9"/>
      <c r="F136" s="9"/>
      <c r="G136" s="9"/>
      <c r="H136" s="9"/>
      <c r="I136" s="9"/>
      <c r="J136" s="9"/>
      <c r="K136" s="9"/>
      <c r="L136" s="9"/>
      <c r="M136" s="9"/>
      <c r="N136" s="9"/>
      <c r="O136" s="9"/>
    </row>
    <row r="137" spans="1:15">
      <c r="A137" t="s">
        <v>51</v>
      </c>
      <c r="B137" s="9" t="s">
        <v>142</v>
      </c>
      <c r="C137" s="9" t="s">
        <v>142</v>
      </c>
      <c r="D137" s="9" t="s">
        <v>142</v>
      </c>
      <c r="E137" s="9" t="s">
        <v>142</v>
      </c>
      <c r="F137" s="9" t="s">
        <v>142</v>
      </c>
      <c r="G137" s="9" t="s">
        <v>142</v>
      </c>
      <c r="H137" s="9" t="s">
        <v>142</v>
      </c>
      <c r="I137" s="9" t="s">
        <v>142</v>
      </c>
      <c r="J137" s="9" t="s">
        <v>142</v>
      </c>
      <c r="K137" s="9" t="s">
        <v>142</v>
      </c>
      <c r="L137" s="9" t="s">
        <v>142</v>
      </c>
      <c r="M137" s="9" t="s">
        <v>142</v>
      </c>
      <c r="N137" s="9" t="s">
        <v>142</v>
      </c>
      <c r="O137" s="9" t="s">
        <v>142</v>
      </c>
    </row>
    <row r="138" spans="1:15">
      <c r="A138" t="s">
        <v>55</v>
      </c>
      <c r="B138" s="9" t="s">
        <v>142</v>
      </c>
      <c r="C138" s="9" t="s">
        <v>142</v>
      </c>
      <c r="D138" s="9" t="s">
        <v>142</v>
      </c>
      <c r="E138" s="9" t="s">
        <v>142</v>
      </c>
      <c r="F138" s="9" t="s">
        <v>142</v>
      </c>
      <c r="G138" s="9" t="s">
        <v>142</v>
      </c>
      <c r="H138" s="9" t="s">
        <v>142</v>
      </c>
      <c r="I138" s="9" t="s">
        <v>142</v>
      </c>
      <c r="J138" s="9" t="s">
        <v>142</v>
      </c>
      <c r="K138" s="9" t="s">
        <v>142</v>
      </c>
      <c r="L138" s="9" t="s">
        <v>142</v>
      </c>
      <c r="M138" s="9" t="s">
        <v>142</v>
      </c>
      <c r="N138" s="9" t="s">
        <v>142</v>
      </c>
      <c r="O138" s="9" t="s">
        <v>142</v>
      </c>
    </row>
    <row r="139" spans="1:15">
      <c r="A139" t="s">
        <v>53</v>
      </c>
      <c r="B139" s="9" t="s">
        <v>142</v>
      </c>
      <c r="C139" s="9" t="s">
        <v>142</v>
      </c>
      <c r="D139" s="9" t="s">
        <v>142</v>
      </c>
      <c r="E139" s="9" t="s">
        <v>142</v>
      </c>
      <c r="F139" s="9" t="s">
        <v>142</v>
      </c>
      <c r="G139" s="9" t="s">
        <v>142</v>
      </c>
      <c r="H139" s="9" t="s">
        <v>142</v>
      </c>
      <c r="I139" s="9" t="s">
        <v>142</v>
      </c>
      <c r="J139" s="9" t="s">
        <v>142</v>
      </c>
      <c r="K139" s="9" t="s">
        <v>142</v>
      </c>
      <c r="L139" s="9" t="s">
        <v>142</v>
      </c>
      <c r="M139" s="9" t="s">
        <v>142</v>
      </c>
      <c r="N139" s="9" t="s">
        <v>142</v>
      </c>
      <c r="O139" s="9" t="s">
        <v>142</v>
      </c>
    </row>
    <row r="140" spans="1:15">
      <c r="A140" t="s">
        <v>143</v>
      </c>
      <c r="B140" s="9"/>
      <c r="C140" s="9"/>
      <c r="D140" s="9"/>
      <c r="E140" s="9"/>
      <c r="F140" s="9"/>
      <c r="G140" s="9"/>
      <c r="H140" s="9"/>
      <c r="I140" s="9"/>
      <c r="J140" s="9"/>
      <c r="K140" s="9"/>
      <c r="L140" s="7"/>
      <c r="M140" s="9"/>
      <c r="N140" s="9"/>
      <c r="O140" s="9"/>
    </row>
    <row r="141" spans="1:15">
      <c r="A141" t="s">
        <v>51</v>
      </c>
      <c r="B141" s="9">
        <v>2.23E-2</v>
      </c>
      <c r="C141" s="9">
        <v>2.23E-2</v>
      </c>
      <c r="D141" s="9">
        <v>5.0599999999999999E-2</v>
      </c>
      <c r="E141" s="9">
        <v>5.0599999999999999E-2</v>
      </c>
      <c r="F141" s="9">
        <v>0</v>
      </c>
      <c r="G141" s="9">
        <v>0</v>
      </c>
      <c r="H141" s="9">
        <v>0</v>
      </c>
      <c r="I141" s="9">
        <v>0</v>
      </c>
      <c r="J141" s="9">
        <v>0</v>
      </c>
      <c r="K141" s="9">
        <v>0</v>
      </c>
      <c r="L141" s="7">
        <v>0</v>
      </c>
      <c r="M141" s="7">
        <v>0</v>
      </c>
      <c r="N141" s="7">
        <v>0</v>
      </c>
      <c r="O141" s="7">
        <v>0</v>
      </c>
    </row>
    <row r="142" spans="1:15">
      <c r="A142" t="s">
        <v>55</v>
      </c>
      <c r="B142" s="9">
        <v>1</v>
      </c>
      <c r="C142" s="9">
        <v>1</v>
      </c>
      <c r="D142" s="9">
        <v>1</v>
      </c>
      <c r="E142" s="9">
        <v>1</v>
      </c>
      <c r="F142" s="9">
        <v>1</v>
      </c>
      <c r="G142" s="9">
        <v>1</v>
      </c>
      <c r="H142" s="9">
        <v>1</v>
      </c>
      <c r="I142" s="7">
        <v>1</v>
      </c>
      <c r="J142" s="9">
        <v>1</v>
      </c>
      <c r="K142" s="9">
        <v>1</v>
      </c>
      <c r="L142" s="7">
        <v>1</v>
      </c>
      <c r="M142" s="7">
        <v>1</v>
      </c>
      <c r="N142" s="7">
        <v>1</v>
      </c>
      <c r="O142" s="7">
        <v>1</v>
      </c>
    </row>
    <row r="143" spans="1:15">
      <c r="A143" t="s">
        <v>53</v>
      </c>
      <c r="B143" s="9">
        <v>0.40389999999999998</v>
      </c>
      <c r="C143" s="9">
        <v>0.40410000000000001</v>
      </c>
      <c r="D143" s="9">
        <v>0.48049999999999998</v>
      </c>
      <c r="E143" s="9">
        <v>0.47989999999999999</v>
      </c>
      <c r="F143" s="9">
        <v>0.51290000000000002</v>
      </c>
      <c r="G143" s="9">
        <v>0.51219999999999999</v>
      </c>
      <c r="H143" s="9">
        <v>0.51239999999999997</v>
      </c>
      <c r="I143" s="7">
        <v>0.59809999999999997</v>
      </c>
      <c r="J143" s="9">
        <v>0.54800000000000004</v>
      </c>
      <c r="K143" s="9">
        <v>0.626</v>
      </c>
      <c r="L143" s="9">
        <v>0.72089999999999999</v>
      </c>
      <c r="M143" s="7">
        <v>0.85450000000000004</v>
      </c>
      <c r="N143" s="7">
        <v>0.85829999999999995</v>
      </c>
      <c r="O143" s="7">
        <v>0.87060000000000004</v>
      </c>
    </row>
    <row r="144" spans="1:15">
      <c r="A144" t="s">
        <v>128</v>
      </c>
      <c r="B144" s="9"/>
      <c r="C144" s="6"/>
      <c r="D144" s="6"/>
      <c r="E144" s="6"/>
      <c r="F144" s="9"/>
      <c r="G144" s="6"/>
      <c r="H144" s="9"/>
      <c r="I144" s="9"/>
      <c r="J144" s="9"/>
      <c r="K144" s="9"/>
      <c r="L144" s="7"/>
      <c r="M144" s="7"/>
      <c r="N144" s="7"/>
      <c r="O144" s="7"/>
    </row>
    <row r="145" spans="1:23">
      <c r="A145" t="s">
        <v>129</v>
      </c>
      <c r="B145" s="7">
        <v>0</v>
      </c>
      <c r="C145" s="9">
        <v>0</v>
      </c>
      <c r="D145" s="9">
        <v>0</v>
      </c>
      <c r="E145" s="9">
        <v>0</v>
      </c>
      <c r="F145" s="9">
        <v>0</v>
      </c>
      <c r="G145" s="9">
        <v>0</v>
      </c>
      <c r="H145" s="9">
        <v>0</v>
      </c>
      <c r="I145" s="7">
        <v>0</v>
      </c>
      <c r="J145" s="9">
        <v>0</v>
      </c>
      <c r="K145" s="9">
        <v>0</v>
      </c>
      <c r="L145" s="7">
        <v>0</v>
      </c>
      <c r="M145" s="7">
        <v>0</v>
      </c>
      <c r="N145" s="7">
        <v>0</v>
      </c>
      <c r="O145" s="7">
        <v>0</v>
      </c>
    </row>
    <row r="146" spans="1:23">
      <c r="A146" t="s">
        <v>130</v>
      </c>
      <c r="B146" s="9">
        <v>0</v>
      </c>
      <c r="C146" s="9">
        <v>0</v>
      </c>
      <c r="D146" s="9">
        <v>0</v>
      </c>
      <c r="E146" s="9">
        <v>0</v>
      </c>
      <c r="F146" s="9">
        <v>0</v>
      </c>
      <c r="G146" s="9">
        <v>0</v>
      </c>
      <c r="H146" s="7">
        <v>0</v>
      </c>
      <c r="I146" s="7">
        <v>1E-4</v>
      </c>
      <c r="J146" s="7">
        <v>1E-4</v>
      </c>
      <c r="K146" s="7">
        <v>2.0000000000000001E-4</v>
      </c>
      <c r="L146" s="9">
        <v>2.9999999999999997E-4</v>
      </c>
      <c r="M146" s="9">
        <v>5.0000000000000001E-4</v>
      </c>
      <c r="N146" s="9">
        <v>5.0000000000000001E-4</v>
      </c>
      <c r="O146" s="9">
        <v>8.0000000000000004E-4</v>
      </c>
    </row>
    <row r="147" spans="1:23">
      <c r="A147" t="s">
        <v>144</v>
      </c>
      <c r="B147" s="9">
        <v>0</v>
      </c>
      <c r="C147" s="9">
        <v>0</v>
      </c>
      <c r="D147" s="7">
        <v>0</v>
      </c>
      <c r="E147" s="7">
        <v>0</v>
      </c>
      <c r="F147" s="7">
        <v>0</v>
      </c>
      <c r="G147" s="7">
        <v>0</v>
      </c>
      <c r="H147" s="36">
        <v>0</v>
      </c>
      <c r="I147" s="9">
        <v>0</v>
      </c>
      <c r="J147" s="37">
        <v>0</v>
      </c>
      <c r="K147" s="37">
        <v>0</v>
      </c>
      <c r="L147" s="37">
        <v>0</v>
      </c>
      <c r="M147" s="7">
        <v>0</v>
      </c>
      <c r="N147" s="7">
        <v>0</v>
      </c>
      <c r="O147" s="7">
        <v>0</v>
      </c>
    </row>
    <row r="148" spans="1:23">
      <c r="A148" t="s">
        <v>145</v>
      </c>
      <c r="B148" s="9">
        <v>5.0000000000000001E-4</v>
      </c>
      <c r="C148" s="36">
        <v>5.0000000000000001E-4</v>
      </c>
      <c r="D148" s="36">
        <v>6.9999999999999999E-4</v>
      </c>
      <c r="E148" s="36">
        <v>6.9999999999999999E-4</v>
      </c>
      <c r="F148" s="37">
        <v>5.9999999999999995E-4</v>
      </c>
      <c r="G148" s="36">
        <v>5.9999999999999995E-4</v>
      </c>
      <c r="H148" s="7">
        <v>5.9999999999999995E-4</v>
      </c>
      <c r="I148" s="37">
        <v>1E-4</v>
      </c>
      <c r="J148" s="7">
        <v>2.9999999999999997E-4</v>
      </c>
      <c r="K148" s="7">
        <v>1E-4</v>
      </c>
      <c r="L148" s="7">
        <v>0</v>
      </c>
      <c r="M148" s="7">
        <v>0</v>
      </c>
      <c r="N148" s="7">
        <v>0</v>
      </c>
      <c r="O148" s="7">
        <v>0</v>
      </c>
    </row>
    <row r="149" spans="1:23">
      <c r="A149" t="s">
        <v>146</v>
      </c>
      <c r="B149" s="36">
        <v>4.1000000000000003E-3</v>
      </c>
      <c r="C149" s="7">
        <v>4.1000000000000003E-3</v>
      </c>
      <c r="D149" s="7">
        <v>3.8999999999999998E-3</v>
      </c>
      <c r="E149" s="7">
        <v>3.8999999999999998E-3</v>
      </c>
      <c r="F149" s="7">
        <v>3.5999999999999999E-3</v>
      </c>
      <c r="G149" s="7">
        <v>3.7000000000000002E-3</v>
      </c>
      <c r="H149" s="7">
        <v>3.7000000000000002E-3</v>
      </c>
      <c r="I149" s="7">
        <v>8.9999999999999998E-4</v>
      </c>
      <c r="J149" s="7">
        <v>3.3E-3</v>
      </c>
      <c r="K149" s="7">
        <v>8.0000000000000004E-4</v>
      </c>
      <c r="L149" s="7">
        <v>5.0000000000000001E-4</v>
      </c>
      <c r="M149" s="9">
        <v>2.0000000000000001E-4</v>
      </c>
      <c r="N149" s="9">
        <v>1E-4</v>
      </c>
      <c r="O149" s="9">
        <v>1E-4</v>
      </c>
    </row>
    <row r="150" spans="1:23">
      <c r="A150" t="s">
        <v>147</v>
      </c>
      <c r="B150" s="7">
        <v>2.5899999999999999E-2</v>
      </c>
      <c r="C150" s="7">
        <v>2.5000000000000001E-2</v>
      </c>
      <c r="D150" s="7">
        <v>2.52E-2</v>
      </c>
      <c r="E150" s="7">
        <v>2.5600000000000001E-2</v>
      </c>
      <c r="F150" s="7">
        <v>2.3E-2</v>
      </c>
      <c r="G150" s="7">
        <v>2.29E-2</v>
      </c>
      <c r="H150" s="9">
        <v>2.3199999999999998E-2</v>
      </c>
      <c r="I150" s="7">
        <v>7.9000000000000008E-3</v>
      </c>
      <c r="J150" s="9">
        <v>2.1100000000000001E-2</v>
      </c>
      <c r="K150" s="9">
        <v>7.3000000000000001E-3</v>
      </c>
      <c r="L150" s="9">
        <v>3.5999999999999999E-3</v>
      </c>
      <c r="M150" s="9">
        <v>1.6999999999999999E-3</v>
      </c>
      <c r="N150" s="9">
        <v>1.8E-3</v>
      </c>
      <c r="O150" s="9">
        <v>1.5E-3</v>
      </c>
    </row>
    <row r="151" spans="1:23">
      <c r="A151" s="8" t="s">
        <v>131</v>
      </c>
      <c r="B151" s="7">
        <v>6.0699999999999997E-2</v>
      </c>
      <c r="C151" s="9">
        <v>5.9400000000000001E-2</v>
      </c>
      <c r="D151" s="9">
        <v>5.1999999999999998E-2</v>
      </c>
      <c r="E151" s="9">
        <v>5.3100000000000001E-2</v>
      </c>
      <c r="F151" s="9">
        <v>4.8800000000000003E-2</v>
      </c>
      <c r="G151" s="9">
        <v>4.8800000000000003E-2</v>
      </c>
      <c r="H151" s="15">
        <v>4.8899999999999999E-2</v>
      </c>
      <c r="I151" s="9">
        <v>1.95E-2</v>
      </c>
      <c r="J151" s="15">
        <v>4.7500000000000001E-2</v>
      </c>
      <c r="K151" s="15">
        <v>1.9099999999999999E-2</v>
      </c>
      <c r="L151" s="15">
        <v>1.09E-2</v>
      </c>
      <c r="M151" s="7">
        <v>5.7999999999999996E-3</v>
      </c>
      <c r="N151" s="7">
        <v>6.4000000000000003E-3</v>
      </c>
      <c r="O151" s="7">
        <v>5.5999999999999999E-3</v>
      </c>
    </row>
    <row r="152" spans="1:23">
      <c r="A152" t="s">
        <v>148</v>
      </c>
      <c r="B152" s="9">
        <v>0.10340000000000001</v>
      </c>
      <c r="C152" s="15">
        <v>0.1024</v>
      </c>
      <c r="D152" s="15">
        <v>8.4500000000000006E-2</v>
      </c>
      <c r="E152" s="15">
        <v>8.5500000000000007E-2</v>
      </c>
      <c r="F152" s="15">
        <v>7.9899999999999999E-2</v>
      </c>
      <c r="G152" s="15">
        <v>8.0600000000000005E-2</v>
      </c>
      <c r="H152" s="15">
        <v>8.0299999999999996E-2</v>
      </c>
      <c r="I152" s="15">
        <v>3.4299999999999997E-2</v>
      </c>
      <c r="J152" s="15">
        <v>7.5200000000000003E-2</v>
      </c>
      <c r="K152" s="15">
        <v>3.3300000000000003E-2</v>
      </c>
      <c r="L152" s="15">
        <v>1.9800000000000002E-2</v>
      </c>
      <c r="M152" s="9">
        <v>1.2699999999999999E-2</v>
      </c>
      <c r="N152" s="9">
        <v>1.37E-2</v>
      </c>
      <c r="O152" s="9">
        <v>1.26E-2</v>
      </c>
    </row>
    <row r="153" spans="1:23">
      <c r="A153" t="s">
        <v>149</v>
      </c>
      <c r="B153" s="15">
        <v>0.2646</v>
      </c>
      <c r="C153" s="15">
        <v>0.26950000000000002</v>
      </c>
      <c r="D153" s="15">
        <v>0.21729999999999999</v>
      </c>
      <c r="E153" s="15">
        <v>0.21640000000000001</v>
      </c>
      <c r="F153" s="15">
        <v>0.20480000000000001</v>
      </c>
      <c r="G153" s="15">
        <v>0.20519999999999999</v>
      </c>
      <c r="H153" s="9">
        <v>0.20449999999999999</v>
      </c>
      <c r="I153" s="15">
        <v>0.1115</v>
      </c>
      <c r="J153" s="9">
        <v>0.19409999999999999</v>
      </c>
      <c r="K153" s="9">
        <v>0.10630000000000001</v>
      </c>
      <c r="L153" s="9">
        <v>5.4899999999999997E-2</v>
      </c>
      <c r="M153" s="9">
        <v>3.85E-2</v>
      </c>
      <c r="N153" s="9">
        <v>3.9800000000000002E-2</v>
      </c>
      <c r="O153" s="9">
        <v>3.6999999999999998E-2</v>
      </c>
    </row>
    <row r="154" spans="1:23">
      <c r="A154" t="s">
        <v>132</v>
      </c>
      <c r="B154" s="15">
        <v>0.33850000000000002</v>
      </c>
      <c r="C154" s="9">
        <v>0.33610000000000001</v>
      </c>
      <c r="D154" s="9">
        <v>0.23960000000000001</v>
      </c>
      <c r="E154" s="9">
        <v>0.23880000000000001</v>
      </c>
      <c r="F154" s="9">
        <v>0.2273</v>
      </c>
      <c r="G154" s="9">
        <v>0.2283</v>
      </c>
      <c r="H154" s="9">
        <v>0.22869999999999999</v>
      </c>
      <c r="I154" s="9">
        <v>0.1981</v>
      </c>
      <c r="J154" s="9">
        <v>0.21390000000000001</v>
      </c>
      <c r="K154" s="9">
        <v>0.18440000000000001</v>
      </c>
      <c r="L154" s="9">
        <v>8.2000000000000003E-2</v>
      </c>
      <c r="M154" s="9">
        <v>5.0099999999999999E-2</v>
      </c>
      <c r="N154" s="9">
        <v>4.8500000000000001E-2</v>
      </c>
      <c r="O154" s="9">
        <v>4.4400000000000002E-2</v>
      </c>
    </row>
    <row r="155" spans="1:23">
      <c r="A155" t="s">
        <v>133</v>
      </c>
      <c r="B155" s="9">
        <v>0.20200000000000001</v>
      </c>
      <c r="C155" s="9">
        <v>0.20269999999999999</v>
      </c>
      <c r="D155" s="9">
        <v>0.26029999999999998</v>
      </c>
      <c r="E155" s="9">
        <v>0.25969999999999999</v>
      </c>
      <c r="F155" s="9">
        <v>0.23899999999999999</v>
      </c>
      <c r="G155" s="9">
        <v>0.23760000000000001</v>
      </c>
      <c r="H155" s="9">
        <v>0.23780000000000001</v>
      </c>
      <c r="I155" s="9">
        <v>0.39379999999999998</v>
      </c>
      <c r="J155" s="9">
        <v>0.20860000000000001</v>
      </c>
      <c r="K155" s="9">
        <v>0.35720000000000002</v>
      </c>
      <c r="L155" s="9">
        <v>0.38179999999999997</v>
      </c>
      <c r="M155" s="9">
        <v>0.14330000000000001</v>
      </c>
      <c r="N155" s="9">
        <v>0.1338</v>
      </c>
      <c r="O155" s="9">
        <v>0.1207</v>
      </c>
    </row>
    <row r="156" spans="1:23">
      <c r="A156" t="s">
        <v>134</v>
      </c>
      <c r="B156" s="9">
        <v>2.0000000000000001E-4</v>
      </c>
      <c r="C156" s="9">
        <v>2.0000000000000001E-4</v>
      </c>
      <c r="D156" s="9">
        <v>0.11650000000000001</v>
      </c>
      <c r="E156" s="9">
        <v>0.1163</v>
      </c>
      <c r="F156" s="9">
        <v>0.1729</v>
      </c>
      <c r="G156" s="9">
        <v>0.1724</v>
      </c>
      <c r="H156" s="7">
        <v>0.1724</v>
      </c>
      <c r="I156" s="9">
        <v>0.2339</v>
      </c>
      <c r="J156" s="7">
        <v>0.2359</v>
      </c>
      <c r="K156" s="7">
        <v>0.2913</v>
      </c>
      <c r="L156" s="7">
        <v>0.44619999999999999</v>
      </c>
      <c r="M156" s="7">
        <v>0.74719999999999998</v>
      </c>
      <c r="N156" s="7">
        <v>0.75539999999999996</v>
      </c>
      <c r="O156" s="7">
        <v>0.77729999999999999</v>
      </c>
    </row>
    <row r="157" spans="1:23">
      <c r="A157" t="s">
        <v>139</v>
      </c>
      <c r="B157" s="9">
        <v>0</v>
      </c>
      <c r="C157" s="7">
        <v>0</v>
      </c>
      <c r="D157" s="7">
        <v>0</v>
      </c>
      <c r="E157" s="7">
        <v>0</v>
      </c>
      <c r="F157" s="7">
        <v>0</v>
      </c>
      <c r="G157" s="7">
        <v>0</v>
      </c>
      <c r="H157" s="7">
        <v>0</v>
      </c>
      <c r="I157" s="7">
        <v>0</v>
      </c>
      <c r="J157" s="7">
        <v>0</v>
      </c>
      <c r="K157" s="7">
        <v>0</v>
      </c>
      <c r="L157" s="7">
        <v>0</v>
      </c>
      <c r="M157" s="7">
        <v>0</v>
      </c>
      <c r="N157" s="7">
        <v>0</v>
      </c>
      <c r="O157" s="7">
        <v>0</v>
      </c>
    </row>
    <row r="158" spans="1:23">
      <c r="B158" s="9"/>
      <c r="C158" s="7"/>
      <c r="D158" s="7"/>
      <c r="E158" s="7"/>
      <c r="F158" s="7"/>
      <c r="G158" s="7"/>
      <c r="H158" s="7"/>
      <c r="I158" s="7"/>
      <c r="J158" s="7"/>
      <c r="K158" s="7"/>
      <c r="L158" s="7"/>
      <c r="M158" s="7"/>
      <c r="N158" s="7"/>
      <c r="O158" s="7"/>
    </row>
    <row r="159" spans="1:23">
      <c r="A159" s="14" t="s">
        <v>261</v>
      </c>
      <c r="B159" s="9"/>
      <c r="C159" s="7"/>
      <c r="D159" s="7"/>
      <c r="E159" s="7"/>
      <c r="F159" s="7"/>
      <c r="G159" s="7"/>
      <c r="H159" s="7"/>
      <c r="I159" s="7"/>
      <c r="J159" s="7"/>
      <c r="K159" s="7"/>
      <c r="L159" s="7"/>
      <c r="M159" s="7"/>
      <c r="N159" s="7"/>
      <c r="O159" s="7"/>
    </row>
    <row r="160" spans="1:23">
      <c r="A160" t="s">
        <v>316</v>
      </c>
      <c r="B160" s="5">
        <f>B165/25</f>
        <v>3322.3355999999999</v>
      </c>
      <c r="C160" s="5">
        <f t="shared" ref="C160:O160" si="15">C165/25</f>
        <v>3226.9240000000004</v>
      </c>
      <c r="D160" s="5">
        <f t="shared" si="15"/>
        <v>3669.0508</v>
      </c>
      <c r="E160" s="5">
        <f t="shared" si="15"/>
        <v>3681.3103999999998</v>
      </c>
      <c r="F160" s="5">
        <f t="shared" si="15"/>
        <v>3528.7152000000001</v>
      </c>
      <c r="G160" s="5">
        <f t="shared" si="15"/>
        <v>3602.9675999999999</v>
      </c>
      <c r="H160" s="5">
        <f t="shared" si="15"/>
        <v>3553.7323999999999</v>
      </c>
      <c r="I160" s="5">
        <f t="shared" si="15"/>
        <v>3062.6635999999999</v>
      </c>
      <c r="J160" s="5">
        <f t="shared" si="15"/>
        <v>3558.0184000000004</v>
      </c>
      <c r="K160" s="5">
        <f t="shared" si="15"/>
        <v>3032.0659999999998</v>
      </c>
      <c r="L160" s="5">
        <f t="shared" si="15"/>
        <v>3114.0468000000001</v>
      </c>
      <c r="M160" s="5">
        <f t="shared" si="15"/>
        <v>3243.7620000000002</v>
      </c>
      <c r="N160" s="5">
        <f t="shared" si="15"/>
        <v>3261.1743999999999</v>
      </c>
      <c r="O160" s="5">
        <f t="shared" si="15"/>
        <v>3230.3344000000002</v>
      </c>
      <c r="P160" s="5"/>
      <c r="Q160" s="5"/>
      <c r="R160" s="5"/>
      <c r="S160" s="5"/>
      <c r="T160" s="5"/>
      <c r="U160" s="5"/>
      <c r="V160" s="5"/>
      <c r="W160" s="5"/>
    </row>
    <row r="161" spans="1:23">
      <c r="A161" t="s">
        <v>317</v>
      </c>
      <c r="B161" s="5">
        <f t="shared" ref="B161:O164" si="16">B166/25</f>
        <v>6685.1131999999998</v>
      </c>
      <c r="C161" s="5">
        <f t="shared" si="16"/>
        <v>6786.7443999999996</v>
      </c>
      <c r="D161" s="5">
        <f t="shared" si="16"/>
        <v>6090.5352000000003</v>
      </c>
      <c r="E161" s="5">
        <f t="shared" si="16"/>
        <v>6034.9971999999998</v>
      </c>
      <c r="F161" s="5">
        <f t="shared" si="16"/>
        <v>6242.7016000000003</v>
      </c>
      <c r="G161" s="5">
        <f t="shared" si="16"/>
        <v>6292.4384</v>
      </c>
      <c r="H161" s="5">
        <f t="shared" si="16"/>
        <v>6248.4823999999999</v>
      </c>
      <c r="I161" s="5">
        <f t="shared" si="16"/>
        <v>5765.9304000000002</v>
      </c>
      <c r="J161" s="5">
        <f t="shared" si="16"/>
        <v>6497.5</v>
      </c>
      <c r="K161" s="5">
        <f t="shared" si="16"/>
        <v>5653.9376000000002</v>
      </c>
      <c r="L161" s="5">
        <f t="shared" si="16"/>
        <v>4976.6415999999999</v>
      </c>
      <c r="M161" s="5">
        <f t="shared" si="16"/>
        <v>5013.62</v>
      </c>
      <c r="N161" s="5">
        <f t="shared" si="16"/>
        <v>4993.5879999999997</v>
      </c>
      <c r="O161" s="5">
        <f t="shared" si="16"/>
        <v>5044.4803999999995</v>
      </c>
      <c r="P161" s="5"/>
      <c r="Q161" s="5"/>
      <c r="R161" s="5"/>
      <c r="S161" s="5"/>
      <c r="T161" s="5"/>
      <c r="U161" s="5"/>
      <c r="V161" s="5"/>
      <c r="W161" s="5"/>
    </row>
    <row r="162" spans="1:23">
      <c r="A162" t="s">
        <v>318</v>
      </c>
      <c r="B162" s="5">
        <f t="shared" si="16"/>
        <v>591.6576</v>
      </c>
      <c r="C162" s="5">
        <f t="shared" si="16"/>
        <v>811.49919999999997</v>
      </c>
      <c r="D162" s="5">
        <f t="shared" si="16"/>
        <v>385.38800000000003</v>
      </c>
      <c r="E162" s="5">
        <f t="shared" si="16"/>
        <v>383.98040000000003</v>
      </c>
      <c r="F162" s="5">
        <f t="shared" si="16"/>
        <v>461.56239999999997</v>
      </c>
      <c r="G162" s="5">
        <f t="shared" si="16"/>
        <v>362.21879999999999</v>
      </c>
      <c r="H162" s="5">
        <f t="shared" si="16"/>
        <v>454.20519999999999</v>
      </c>
      <c r="I162" s="5">
        <f t="shared" si="16"/>
        <v>512.96360000000004</v>
      </c>
      <c r="J162" s="5">
        <f t="shared" si="16"/>
        <v>477.50959999999998</v>
      </c>
      <c r="K162" s="5">
        <f t="shared" si="16"/>
        <v>571.06119999999999</v>
      </c>
      <c r="L162" s="5">
        <f t="shared" si="16"/>
        <v>1156.6372000000001</v>
      </c>
      <c r="M162" s="5">
        <f t="shared" si="16"/>
        <v>1168.2303999999999</v>
      </c>
      <c r="N162" s="5">
        <f t="shared" si="16"/>
        <v>1135.4352000000001</v>
      </c>
      <c r="O162" s="5">
        <f t="shared" si="16"/>
        <v>1137.5475999999999</v>
      </c>
      <c r="P162" s="5"/>
      <c r="Q162" s="5"/>
      <c r="R162" s="5"/>
      <c r="S162" s="5"/>
      <c r="T162" s="5"/>
      <c r="U162" s="5"/>
      <c r="V162" s="5"/>
      <c r="W162" s="5"/>
    </row>
    <row r="163" spans="1:23">
      <c r="A163" t="s">
        <v>319</v>
      </c>
      <c r="B163" s="5">
        <f t="shared" si="16"/>
        <v>2.5584000000000002</v>
      </c>
      <c r="C163" s="5">
        <f t="shared" si="16"/>
        <v>8.8000000000000005E-3</v>
      </c>
      <c r="D163" s="5">
        <f t="shared" si="16"/>
        <v>9.8504000000000005</v>
      </c>
      <c r="E163" s="5">
        <f t="shared" si="16"/>
        <v>16.422000000000001</v>
      </c>
      <c r="F163" s="5">
        <f t="shared" si="16"/>
        <v>9.4451999999999998</v>
      </c>
      <c r="G163" s="5">
        <f t="shared" si="16"/>
        <v>8.8000000000000005E-3</v>
      </c>
      <c r="H163" s="5">
        <f t="shared" si="16"/>
        <v>0.01</v>
      </c>
      <c r="I163" s="5">
        <f t="shared" si="16"/>
        <v>11.58</v>
      </c>
      <c r="J163" s="5">
        <f t="shared" si="16"/>
        <v>8.0495999999999999</v>
      </c>
      <c r="K163" s="5">
        <f t="shared" si="16"/>
        <v>2.7143999999999999</v>
      </c>
      <c r="L163" s="5">
        <f t="shared" si="16"/>
        <v>109.7808</v>
      </c>
      <c r="M163" s="5">
        <f t="shared" si="16"/>
        <v>99.157999999999987</v>
      </c>
      <c r="N163" s="5">
        <f t="shared" si="16"/>
        <v>109.896</v>
      </c>
      <c r="O163" s="5">
        <f t="shared" si="16"/>
        <v>120.4944</v>
      </c>
      <c r="P163" s="5"/>
      <c r="Q163" s="5"/>
      <c r="R163" s="5"/>
      <c r="S163" s="5"/>
      <c r="T163" s="5"/>
      <c r="U163" s="5"/>
      <c r="V163" s="5"/>
      <c r="W163" s="5"/>
    </row>
    <row r="164" spans="1:23">
      <c r="A164" t="s">
        <v>266</v>
      </c>
      <c r="B164" s="5">
        <f t="shared" si="16"/>
        <v>10601.6648</v>
      </c>
      <c r="C164" s="5">
        <f t="shared" si="16"/>
        <v>10825.176399999998</v>
      </c>
      <c r="D164" s="5">
        <f t="shared" si="16"/>
        <v>10154.824400000001</v>
      </c>
      <c r="E164" s="5">
        <f t="shared" si="16"/>
        <v>10116.709999999999</v>
      </c>
      <c r="F164" s="5">
        <f t="shared" si="16"/>
        <v>10242.4244</v>
      </c>
      <c r="G164" s="5">
        <f t="shared" si="16"/>
        <v>10257.633599999999</v>
      </c>
      <c r="H164" s="5">
        <f t="shared" si="16"/>
        <v>10256.43</v>
      </c>
      <c r="I164" s="5">
        <f t="shared" si="16"/>
        <v>9353.1376</v>
      </c>
      <c r="J164" s="5">
        <f t="shared" si="16"/>
        <v>10541.077600000001</v>
      </c>
      <c r="K164" s="5">
        <f t="shared" si="16"/>
        <v>9259.779199999999</v>
      </c>
      <c r="L164" s="5">
        <f t="shared" si="16"/>
        <v>9357.1063999999988</v>
      </c>
      <c r="M164" s="5">
        <f t="shared" si="16"/>
        <v>9524.7704000000012</v>
      </c>
      <c r="N164" s="5">
        <f t="shared" si="16"/>
        <v>9500.0936000000002</v>
      </c>
      <c r="O164" s="5">
        <f t="shared" si="16"/>
        <v>9532.8567999999996</v>
      </c>
      <c r="P164" s="5"/>
      <c r="Q164" s="5"/>
      <c r="R164" s="5"/>
      <c r="S164" s="5"/>
      <c r="T164" s="5"/>
      <c r="U164" s="5"/>
      <c r="V164" s="5"/>
      <c r="W164" s="5"/>
    </row>
    <row r="165" spans="1:23">
      <c r="A165" t="s">
        <v>262</v>
      </c>
      <c r="B165" s="5">
        <v>83058.39</v>
      </c>
      <c r="C165" s="5">
        <v>80673.100000000006</v>
      </c>
      <c r="D165" s="5">
        <v>91726.27</v>
      </c>
      <c r="E165" s="5">
        <v>92032.76</v>
      </c>
      <c r="F165" s="5">
        <v>88217.88</v>
      </c>
      <c r="G165" s="5">
        <v>90074.19</v>
      </c>
      <c r="H165" s="5">
        <v>88843.31</v>
      </c>
      <c r="I165" s="5">
        <v>76566.59</v>
      </c>
      <c r="J165" s="5">
        <v>88950.46</v>
      </c>
      <c r="K165" s="5">
        <v>75801.649999999994</v>
      </c>
      <c r="L165" s="5">
        <v>77851.17</v>
      </c>
      <c r="M165" s="5">
        <v>81094.05</v>
      </c>
      <c r="N165" s="5">
        <v>81529.36</v>
      </c>
      <c r="O165" s="5">
        <v>80758.36</v>
      </c>
    </row>
    <row r="166" spans="1:23">
      <c r="A166" t="s">
        <v>263</v>
      </c>
      <c r="B166" s="5">
        <v>167127.82999999999</v>
      </c>
      <c r="C166" s="5">
        <v>169668.61</v>
      </c>
      <c r="D166" s="5">
        <v>152263.38</v>
      </c>
      <c r="E166" s="5">
        <v>150874.93</v>
      </c>
      <c r="F166" s="5">
        <v>156067.54</v>
      </c>
      <c r="G166" s="5">
        <v>157310.96</v>
      </c>
      <c r="H166" s="5">
        <v>156212.06</v>
      </c>
      <c r="I166" s="5">
        <v>144148.26</v>
      </c>
      <c r="J166" s="5">
        <v>162437.5</v>
      </c>
      <c r="K166" s="5">
        <v>141348.44</v>
      </c>
      <c r="L166" s="5">
        <v>124416.04</v>
      </c>
      <c r="M166" s="5">
        <v>125340.5</v>
      </c>
      <c r="N166" s="5">
        <v>124839.7</v>
      </c>
      <c r="O166" s="5">
        <v>126112.01</v>
      </c>
    </row>
    <row r="167" spans="1:23">
      <c r="A167" t="s">
        <v>264</v>
      </c>
      <c r="B167" s="5">
        <v>14791.44</v>
      </c>
      <c r="C167" s="5">
        <v>20287.48</v>
      </c>
      <c r="D167" s="5">
        <v>9634.7000000000007</v>
      </c>
      <c r="E167" s="5">
        <v>9599.51</v>
      </c>
      <c r="F167" s="5">
        <v>11539.06</v>
      </c>
      <c r="G167" s="5">
        <v>9055.4699999999993</v>
      </c>
      <c r="H167" s="5">
        <v>11355.13</v>
      </c>
      <c r="I167" s="5">
        <v>12824.09</v>
      </c>
      <c r="J167" s="5">
        <v>11937.74</v>
      </c>
      <c r="K167" s="5">
        <v>14276.53</v>
      </c>
      <c r="L167" s="5">
        <v>28915.93</v>
      </c>
      <c r="M167" s="5">
        <v>29205.759999999998</v>
      </c>
      <c r="N167" s="5">
        <v>28385.88</v>
      </c>
      <c r="O167" s="5">
        <v>28438.69</v>
      </c>
    </row>
    <row r="168" spans="1:23">
      <c r="A168" t="s">
        <v>265</v>
      </c>
      <c r="B168" s="5">
        <v>63.96</v>
      </c>
      <c r="C168" s="5">
        <v>0.22</v>
      </c>
      <c r="D168" s="5">
        <v>246.26</v>
      </c>
      <c r="E168" s="5">
        <v>410.55</v>
      </c>
      <c r="F168" s="5">
        <v>236.13</v>
      </c>
      <c r="G168" s="5">
        <v>0.22</v>
      </c>
      <c r="H168" s="5">
        <v>0.25</v>
      </c>
      <c r="I168" s="5">
        <v>289.5</v>
      </c>
      <c r="J168" s="5">
        <v>201.24</v>
      </c>
      <c r="K168" s="5">
        <v>67.86</v>
      </c>
      <c r="L168" s="5">
        <v>2744.52</v>
      </c>
      <c r="M168" s="5">
        <v>2478.9499999999998</v>
      </c>
      <c r="N168" s="5">
        <v>2747.4</v>
      </c>
      <c r="O168" s="5">
        <v>3012.36</v>
      </c>
    </row>
    <row r="169" spans="1:23">
      <c r="A169" t="s">
        <v>266</v>
      </c>
      <c r="B169" s="5">
        <f t="shared" ref="B169:O169" si="17">SUM(B165:B168)</f>
        <v>265041.62</v>
      </c>
      <c r="C169" s="5">
        <f t="shared" si="17"/>
        <v>270629.40999999997</v>
      </c>
      <c r="D169" s="5">
        <f t="shared" si="17"/>
        <v>253870.61000000004</v>
      </c>
      <c r="E169" s="5">
        <f t="shared" si="17"/>
        <v>252917.75</v>
      </c>
      <c r="F169" s="5">
        <f t="shared" si="17"/>
        <v>256060.61000000002</v>
      </c>
      <c r="G169" s="5">
        <f t="shared" si="17"/>
        <v>256440.84</v>
      </c>
      <c r="H169" s="5">
        <f t="shared" si="17"/>
        <v>256410.75</v>
      </c>
      <c r="I169" s="5">
        <f t="shared" si="17"/>
        <v>233828.44</v>
      </c>
      <c r="J169" s="5">
        <f t="shared" si="17"/>
        <v>263526.94</v>
      </c>
      <c r="K169" s="5">
        <f t="shared" si="17"/>
        <v>231494.47999999998</v>
      </c>
      <c r="L169" s="5">
        <f t="shared" si="17"/>
        <v>233927.65999999997</v>
      </c>
      <c r="M169" s="5">
        <f t="shared" si="17"/>
        <v>238119.26</v>
      </c>
      <c r="N169" s="5">
        <f t="shared" si="17"/>
        <v>237502.34</v>
      </c>
      <c r="O169" s="5">
        <f t="shared" si="17"/>
        <v>238321.41999999998</v>
      </c>
    </row>
    <row r="170" spans="1:23">
      <c r="B170" s="9"/>
      <c r="C170" s="7"/>
      <c r="D170" s="7"/>
      <c r="E170" s="7"/>
      <c r="F170" s="7"/>
      <c r="G170" s="7"/>
      <c r="H170" s="7"/>
      <c r="I170" s="7"/>
      <c r="J170" s="7"/>
      <c r="K170" s="7"/>
      <c r="L170" s="7"/>
      <c r="M170" s="7"/>
      <c r="N170" s="7"/>
      <c r="O170" s="7"/>
    </row>
    <row r="171" spans="1:23">
      <c r="A171" s="14" t="s">
        <v>155</v>
      </c>
    </row>
    <row r="172" spans="1:23">
      <c r="A172" t="s">
        <v>160</v>
      </c>
      <c r="B172">
        <f>Assumptions!B2</f>
        <v>25</v>
      </c>
    </row>
    <row r="173" spans="1:23">
      <c r="A173" t="s">
        <v>2</v>
      </c>
      <c r="B173" s="3">
        <f>Assumptions!B3</f>
        <v>0.03</v>
      </c>
      <c r="C173" s="7"/>
      <c r="D173" s="7"/>
      <c r="E173" s="7"/>
      <c r="F173" s="7"/>
      <c r="G173" s="7"/>
      <c r="H173" s="7"/>
      <c r="I173" s="7"/>
      <c r="J173" s="7"/>
      <c r="K173" s="7"/>
      <c r="L173" s="7"/>
      <c r="M173" s="7"/>
      <c r="N173" s="7"/>
      <c r="O173" s="7"/>
    </row>
    <row r="174" spans="1:23">
      <c r="A174" t="s">
        <v>154</v>
      </c>
      <c r="B174" s="9">
        <f>Assumptions!B4</f>
        <v>0.01</v>
      </c>
      <c r="C174" s="7"/>
      <c r="D174" s="7"/>
      <c r="E174" s="7"/>
      <c r="F174" s="7"/>
      <c r="G174" s="7"/>
      <c r="H174" s="7"/>
      <c r="I174" s="7"/>
      <c r="J174" s="7"/>
      <c r="K174" s="7"/>
      <c r="L174" s="7"/>
      <c r="M174" s="7"/>
      <c r="N174" s="7"/>
      <c r="O174" s="7"/>
    </row>
    <row r="175" spans="1:23">
      <c r="A175" t="s">
        <v>162</v>
      </c>
      <c r="B175">
        <f>Assumptions!B5</f>
        <v>1</v>
      </c>
      <c r="C175" s="9"/>
      <c r="D175" s="9"/>
      <c r="E175" s="9"/>
      <c r="F175" s="9"/>
      <c r="G175" s="9"/>
      <c r="H175" s="9"/>
      <c r="I175" s="9"/>
      <c r="J175" s="9"/>
      <c r="K175" s="9"/>
      <c r="L175" s="9"/>
      <c r="M175" s="9"/>
      <c r="N175" s="9"/>
      <c r="O175" s="9"/>
    </row>
    <row r="176" spans="1:23">
      <c r="A176" t="s">
        <v>99</v>
      </c>
      <c r="B176" s="4">
        <f>Assumptions!B6</f>
        <v>7.99</v>
      </c>
      <c r="C176" s="15"/>
      <c r="D176" s="15"/>
      <c r="E176" s="15"/>
      <c r="F176" s="15"/>
      <c r="G176" s="15"/>
      <c r="H176" s="15"/>
      <c r="I176" s="15"/>
      <c r="J176" s="15"/>
      <c r="K176" s="15"/>
      <c r="L176" s="15"/>
      <c r="M176" s="15"/>
      <c r="N176" s="15"/>
      <c r="O176" s="15"/>
    </row>
    <row r="177" spans="1:15">
      <c r="A177" t="s">
        <v>98</v>
      </c>
      <c r="B177" s="4">
        <f>Assumptions!B7</f>
        <v>7.163333333333334</v>
      </c>
      <c r="C177" s="15"/>
      <c r="D177" s="15"/>
      <c r="E177" s="15"/>
      <c r="F177" s="15"/>
      <c r="G177" s="15"/>
      <c r="H177" s="15"/>
      <c r="I177" s="15"/>
      <c r="J177" s="15"/>
      <c r="K177" s="15"/>
      <c r="L177" s="15"/>
      <c r="M177" s="15"/>
      <c r="N177" s="15"/>
      <c r="O177" s="15"/>
    </row>
    <row r="178" spans="1:15">
      <c r="A178" t="s">
        <v>102</v>
      </c>
      <c r="B178">
        <v>134000</v>
      </c>
    </row>
    <row r="179" spans="1:15">
      <c r="A179" t="s">
        <v>103</v>
      </c>
      <c r="B179">
        <v>2.93071E-4</v>
      </c>
    </row>
    <row r="180" spans="1:15">
      <c r="A180" t="s">
        <v>228</v>
      </c>
      <c r="B180">
        <f>Assumptions!B10</f>
        <v>186075.58976888133</v>
      </c>
    </row>
    <row r="181" spans="1:15">
      <c r="A181" t="s">
        <v>285</v>
      </c>
      <c r="B181" s="11">
        <f>Assumptions!B11</f>
        <v>-2655676.2110055005</v>
      </c>
    </row>
    <row r="182" spans="1:15">
      <c r="A182" t="s">
        <v>235</v>
      </c>
      <c r="B182" s="11">
        <f>Assumptions!B12</f>
        <v>-13815874.877344536</v>
      </c>
    </row>
    <row r="183" spans="1:15">
      <c r="A183" t="s">
        <v>234</v>
      </c>
      <c r="B183" s="11">
        <f>Assumptions!B13</f>
        <v>-6752037.5898857638</v>
      </c>
    </row>
    <row r="184" spans="1:15">
      <c r="A184" t="s">
        <v>229</v>
      </c>
      <c r="B184" s="11">
        <f>Assumptions!B14</f>
        <v>21141875662.789482</v>
      </c>
    </row>
    <row r="185" spans="1:15">
      <c r="B185" s="39"/>
      <c r="C185" s="39"/>
      <c r="D185" s="9"/>
      <c r="E185" s="9"/>
      <c r="F185" s="9"/>
      <c r="G185" s="9"/>
      <c r="H185" s="9"/>
      <c r="I185" s="9"/>
      <c r="J185" s="9"/>
      <c r="K185" s="9"/>
      <c r="L185" s="9"/>
      <c r="M185" s="9"/>
      <c r="N185" s="9"/>
      <c r="O185" s="9"/>
    </row>
    <row r="186" spans="1:15">
      <c r="A186" t="s">
        <v>215</v>
      </c>
      <c r="B186" s="39">
        <f>Assumptions!B16</f>
        <v>0.14929999999999999</v>
      </c>
      <c r="D186" s="7"/>
      <c r="E186" s="7"/>
      <c r="F186" s="7"/>
      <c r="G186" s="7"/>
      <c r="H186" s="7"/>
      <c r="I186" s="7"/>
      <c r="J186" s="7"/>
      <c r="K186" s="7"/>
      <c r="L186" s="7"/>
      <c r="M186" s="7"/>
      <c r="N186" s="7"/>
      <c r="O186" s="7"/>
    </row>
    <row r="187" spans="1:15">
      <c r="A187" t="s">
        <v>215</v>
      </c>
      <c r="B187" s="39">
        <f>Assumptions!B17</f>
        <v>-0.90090000000000003</v>
      </c>
    </row>
    <row r="188" spans="1:15">
      <c r="A188" t="s">
        <v>215</v>
      </c>
      <c r="B188" s="39">
        <f>Assumptions!B18</f>
        <v>16.515000000000001</v>
      </c>
    </row>
    <row r="189" spans="1:15">
      <c r="B189" s="39"/>
      <c r="C189" s="39"/>
    </row>
    <row r="190" spans="1:15">
      <c r="A190" t="s">
        <v>216</v>
      </c>
      <c r="B190" s="39">
        <f>Assumptions!B20</f>
        <v>0.1123</v>
      </c>
      <c r="C190" s="39"/>
    </row>
    <row r="191" spans="1:15">
      <c r="A191" t="s">
        <v>216</v>
      </c>
      <c r="B191" s="39">
        <f>Assumptions!B21</f>
        <v>-0.6774</v>
      </c>
      <c r="C191" s="39"/>
    </row>
    <row r="192" spans="1:15">
      <c r="A192" t="s">
        <v>216</v>
      </c>
      <c r="B192" s="39">
        <f>Assumptions!B22</f>
        <v>12.417999999999999</v>
      </c>
      <c r="C192" s="39"/>
    </row>
    <row r="193" spans="1:3">
      <c r="B193" s="39"/>
      <c r="C193" s="39"/>
    </row>
    <row r="194" spans="1:3">
      <c r="A194" t="s">
        <v>217</v>
      </c>
      <c r="B194" s="5">
        <f>Assumptions!B24</f>
        <v>1747196.0752000001</v>
      </c>
      <c r="C194" s="39"/>
    </row>
    <row r="195" spans="1:3">
      <c r="A195" t="s">
        <v>223</v>
      </c>
      <c r="B195" s="5">
        <f>Assumptions!B25</f>
        <v>2813162.6651999997</v>
      </c>
    </row>
    <row r="197" spans="1:3">
      <c r="A197" t="s">
        <v>283</v>
      </c>
      <c r="B197" s="5">
        <f>B105/25</f>
        <v>1572476.378</v>
      </c>
    </row>
    <row r="198" spans="1:3">
      <c r="A198" t="s">
        <v>284</v>
      </c>
      <c r="B198" s="5">
        <f>(B36+B35)/25</f>
        <v>1828555.68</v>
      </c>
    </row>
    <row r="199" spans="1:3">
      <c r="B199" s="5"/>
    </row>
    <row r="200" spans="1:3">
      <c r="A200" t="s">
        <v>267</v>
      </c>
      <c r="B200">
        <v>80000</v>
      </c>
    </row>
    <row r="201" spans="1:3">
      <c r="A201" t="s">
        <v>272</v>
      </c>
      <c r="B201">
        <v>410.53</v>
      </c>
    </row>
    <row r="202" spans="1:3">
      <c r="A202" t="s">
        <v>273</v>
      </c>
      <c r="B202">
        <v>105.26</v>
      </c>
    </row>
    <row r="204" spans="1:3">
      <c r="A204" t="s">
        <v>271</v>
      </c>
      <c r="B204" s="11">
        <v>15.780750000000001</v>
      </c>
    </row>
    <row r="205" spans="1:3">
      <c r="A205" t="s">
        <v>270</v>
      </c>
      <c r="B205" s="11">
        <v>16.452750000000002</v>
      </c>
    </row>
    <row r="206" spans="1:3">
      <c r="A206" t="s">
        <v>268</v>
      </c>
      <c r="B206" s="11">
        <v>16.758750000000003</v>
      </c>
    </row>
    <row r="207" spans="1:3">
      <c r="A207" t="s">
        <v>269</v>
      </c>
      <c r="B207" s="11">
        <v>17.142244565217393</v>
      </c>
    </row>
    <row r="209" spans="1:23">
      <c r="A209" t="s">
        <v>335</v>
      </c>
      <c r="B209" s="11">
        <f>Assumptions!B36</f>
        <v>560000</v>
      </c>
    </row>
    <row r="210" spans="1:23">
      <c r="A210" t="s">
        <v>326</v>
      </c>
      <c r="B210" s="54">
        <f>Assumptions!B37</f>
        <v>17500</v>
      </c>
    </row>
    <row r="211" spans="1:23">
      <c r="A211" t="s">
        <v>329</v>
      </c>
      <c r="B211" s="11">
        <f>Assumptions!B38</f>
        <v>0.54</v>
      </c>
    </row>
    <row r="213" spans="1:23">
      <c r="A213" t="s">
        <v>221</v>
      </c>
      <c r="B213" s="5">
        <f>1-B197/B194</f>
        <v>0.1000000513279542</v>
      </c>
    </row>
    <row r="214" spans="1:23">
      <c r="A214" t="s">
        <v>220</v>
      </c>
      <c r="B214" s="5">
        <f>1-B198/B195</f>
        <v>0.35000001861961294</v>
      </c>
    </row>
    <row r="216" spans="1:23">
      <c r="A216" t="s">
        <v>218</v>
      </c>
      <c r="B216" s="4">
        <f>B188*(B213^2)+B213*B187+B186</f>
        <v>0.22436012329492228</v>
      </c>
    </row>
    <row r="217" spans="1:23">
      <c r="A217" t="s">
        <v>219</v>
      </c>
      <c r="B217" s="4">
        <f>B192*(B214^2)+B214*B191+B190</f>
        <v>1.3964151492399257</v>
      </c>
    </row>
    <row r="218" spans="1:23">
      <c r="B218" s="4"/>
      <c r="C218" s="5"/>
      <c r="D218" s="5"/>
      <c r="E218" s="5"/>
      <c r="F218" s="5"/>
      <c r="G218" s="5"/>
      <c r="H218" s="5"/>
      <c r="I218" s="5"/>
      <c r="J218" s="5"/>
      <c r="K218" s="5"/>
      <c r="L218" s="5"/>
      <c r="M218" s="5"/>
      <c r="N218" s="5"/>
      <c r="O218" s="5"/>
    </row>
    <row r="219" spans="1:23">
      <c r="A219" t="s">
        <v>218</v>
      </c>
      <c r="B219" s="11">
        <f>-B216*(B194-B197)</f>
        <v>-39200.132805843496</v>
      </c>
      <c r="C219" s="5"/>
      <c r="D219" s="5"/>
      <c r="E219" s="5"/>
      <c r="F219" s="5"/>
      <c r="G219" s="5"/>
      <c r="H219" s="5"/>
      <c r="I219" s="5"/>
      <c r="J219" s="5"/>
      <c r="K219" s="5"/>
      <c r="L219" s="5"/>
      <c r="M219" s="5"/>
      <c r="N219" s="5"/>
      <c r="O219" s="5"/>
    </row>
    <row r="220" spans="1:23">
      <c r="A220" t="s">
        <v>219</v>
      </c>
      <c r="B220" s="11">
        <f>-B217*(B195-B198)</f>
        <v>-1374920.1101807309</v>
      </c>
      <c r="C220" s="11">
        <f>B220+B219</f>
        <v>-1414120.2429865745</v>
      </c>
    </row>
    <row r="222" spans="1:23">
      <c r="A222" t="s">
        <v>222</v>
      </c>
    </row>
    <row r="223" spans="1:23">
      <c r="A223" t="s">
        <v>338</v>
      </c>
      <c r="B223" s="11">
        <f>-B59*1</f>
        <v>0</v>
      </c>
      <c r="C223" s="11">
        <f>-C59*1</f>
        <v>-85000</v>
      </c>
      <c r="D223" s="11">
        <f t="shared" ref="D223:O223" si="18">-D59*1</f>
        <v>-1050000</v>
      </c>
      <c r="E223" s="11">
        <f t="shared" si="18"/>
        <v>-1135000</v>
      </c>
      <c r="F223" s="11">
        <f t="shared" si="18"/>
        <v>-1550000</v>
      </c>
      <c r="G223" s="11">
        <f t="shared" si="18"/>
        <v>-1635000</v>
      </c>
      <c r="H223" s="11">
        <f t="shared" si="18"/>
        <v>-1670000</v>
      </c>
      <c r="I223" s="11">
        <f t="shared" si="18"/>
        <v>-2500000</v>
      </c>
      <c r="J223" s="11">
        <f t="shared" si="18"/>
        <v>-2550000</v>
      </c>
      <c r="K223" s="11">
        <f t="shared" si="18"/>
        <v>-3500000</v>
      </c>
      <c r="L223" s="11">
        <f t="shared" si="18"/>
        <v>-4200000</v>
      </c>
      <c r="M223" s="11">
        <f t="shared" si="18"/>
        <v>-4800000</v>
      </c>
      <c r="N223" s="11">
        <f t="shared" si="18"/>
        <v>-5300000</v>
      </c>
      <c r="O223" s="11">
        <f t="shared" si="18"/>
        <v>-6300000</v>
      </c>
      <c r="P223" s="11"/>
      <c r="Q223" s="11"/>
      <c r="R223" s="11"/>
      <c r="S223" s="11"/>
      <c r="T223" s="11"/>
      <c r="U223" s="11"/>
      <c r="V223" s="11"/>
      <c r="W223" s="11"/>
    </row>
    <row r="225" spans="1:15">
      <c r="A225" t="s">
        <v>158</v>
      </c>
      <c r="B225" s="11">
        <f t="shared" ref="B225:O225" si="19">-B48+B59</f>
        <v>0</v>
      </c>
      <c r="C225" s="11">
        <f t="shared" si="19"/>
        <v>0</v>
      </c>
      <c r="D225" s="11">
        <f t="shared" si="19"/>
        <v>-10181.300000000047</v>
      </c>
      <c r="E225" s="11">
        <f t="shared" si="19"/>
        <v>-10181.300000000047</v>
      </c>
      <c r="F225" s="11">
        <f t="shared" si="19"/>
        <v>-11654.879999999888</v>
      </c>
      <c r="G225" s="11">
        <f t="shared" si="19"/>
        <v>-11654.879999999888</v>
      </c>
      <c r="H225" s="11">
        <f t="shared" si="19"/>
        <v>-11654.879999999888</v>
      </c>
      <c r="I225" s="11">
        <f t="shared" si="19"/>
        <v>-12987.200000000186</v>
      </c>
      <c r="J225" s="11">
        <f t="shared" si="19"/>
        <v>-17540.339999999851</v>
      </c>
      <c r="K225" s="11">
        <f t="shared" si="19"/>
        <v>-19856.830000000075</v>
      </c>
      <c r="L225" s="11">
        <f t="shared" si="19"/>
        <v>-22930.719999999739</v>
      </c>
      <c r="M225" s="11">
        <f t="shared" si="19"/>
        <v>-34482.879999999888</v>
      </c>
      <c r="N225" s="11">
        <f t="shared" si="19"/>
        <v>-38324.110000000335</v>
      </c>
      <c r="O225" s="11">
        <f t="shared" si="19"/>
        <v>-47876.44000000041</v>
      </c>
    </row>
    <row r="226" spans="1:15">
      <c r="A226" t="s">
        <v>157</v>
      </c>
      <c r="B226">
        <v>0</v>
      </c>
      <c r="C226" s="16">
        <f>IF(C225=0,0,-(C225+10000)/500)</f>
        <v>0</v>
      </c>
      <c r="D226" s="16">
        <f t="shared" ref="D226:O226" si="20">IF(D225=0,0,-(D225+10000)/500)</f>
        <v>0.36260000000009313</v>
      </c>
      <c r="E226" s="16">
        <f t="shared" si="20"/>
        <v>0.36260000000009313</v>
      </c>
      <c r="F226" s="16">
        <f t="shared" si="20"/>
        <v>3.3097599999997764</v>
      </c>
      <c r="G226" s="16">
        <f t="shared" si="20"/>
        <v>3.3097599999997764</v>
      </c>
      <c r="H226" s="16">
        <f t="shared" si="20"/>
        <v>3.3097599999997764</v>
      </c>
      <c r="I226" s="16">
        <f t="shared" si="20"/>
        <v>5.9744000000003723</v>
      </c>
      <c r="J226" s="16">
        <f t="shared" si="20"/>
        <v>15.080679999999703</v>
      </c>
      <c r="K226" s="16">
        <f t="shared" si="20"/>
        <v>19.71366000000015</v>
      </c>
      <c r="L226" s="16">
        <f t="shared" si="20"/>
        <v>25.86143999999948</v>
      </c>
      <c r="M226" s="16">
        <f t="shared" si="20"/>
        <v>48.965759999999776</v>
      </c>
      <c r="N226" s="16">
        <f t="shared" si="20"/>
        <v>56.64822000000067</v>
      </c>
      <c r="O226" s="16">
        <f t="shared" si="20"/>
        <v>75.752880000000815</v>
      </c>
    </row>
    <row r="227" spans="1:15">
      <c r="A227" t="s">
        <v>156</v>
      </c>
      <c r="B227">
        <v>0</v>
      </c>
      <c r="C227" s="15">
        <f>ROUNDUP(C226/6,0)</f>
        <v>0</v>
      </c>
      <c r="D227" s="15">
        <f>ROUNDUP(D226/6,0)</f>
        <v>1</v>
      </c>
      <c r="E227" s="15">
        <f>ROUNDUP(E226/6,0)</f>
        <v>1</v>
      </c>
      <c r="F227" s="15">
        <f>ROUNDUP(F226/6,0)</f>
        <v>1</v>
      </c>
      <c r="G227" s="15">
        <f>ROUNDUP(G226/6,0)</f>
        <v>1</v>
      </c>
      <c r="H227" s="15">
        <f t="shared" ref="H227:O227" si="21">ROUNDUP(H226/6,0)</f>
        <v>1</v>
      </c>
      <c r="I227" s="15">
        <f t="shared" si="21"/>
        <v>1</v>
      </c>
      <c r="J227" s="15">
        <f t="shared" si="21"/>
        <v>3</v>
      </c>
      <c r="K227" s="15">
        <f t="shared" si="21"/>
        <v>4</v>
      </c>
      <c r="L227" s="15">
        <f t="shared" si="21"/>
        <v>5</v>
      </c>
      <c r="M227" s="15">
        <f t="shared" si="21"/>
        <v>9</v>
      </c>
      <c r="N227" s="15">
        <f t="shared" si="21"/>
        <v>10</v>
      </c>
      <c r="O227" s="15">
        <f t="shared" si="21"/>
        <v>13</v>
      </c>
    </row>
    <row r="228" spans="1:15">
      <c r="C228" s="15"/>
      <c r="D228" s="15"/>
      <c r="E228" s="15"/>
      <c r="F228" s="15"/>
      <c r="G228" s="15"/>
      <c r="H228" s="15"/>
      <c r="I228" s="15"/>
      <c r="J228" s="15"/>
      <c r="K228" s="15"/>
      <c r="L228" s="15"/>
      <c r="M228" s="15"/>
      <c r="N228" s="15"/>
      <c r="O228" s="15"/>
    </row>
    <row r="229" spans="1:15">
      <c r="A229" t="s">
        <v>278</v>
      </c>
      <c r="C229" s="15"/>
      <c r="D229" s="15"/>
      <c r="E229" s="15"/>
      <c r="F229" s="15"/>
      <c r="G229" s="15"/>
      <c r="H229" s="15"/>
      <c r="I229" s="15"/>
      <c r="J229" s="15"/>
      <c r="K229" s="15"/>
      <c r="L229" s="15"/>
      <c r="M229" s="15"/>
      <c r="N229" s="15"/>
      <c r="O229" s="15"/>
    </row>
    <row r="230" spans="1:15">
      <c r="A230" t="s">
        <v>274</v>
      </c>
      <c r="B230" s="11">
        <f t="shared" ref="B230:O230" si="22">-(202*$B$201+$B$202)*B165/($B$200)/25</f>
        <v>-3448.2654085823997</v>
      </c>
      <c r="C230" s="11">
        <f t="shared" si="22"/>
        <v>-3349.2373272959999</v>
      </c>
      <c r="D230" s="11">
        <f t="shared" si="22"/>
        <v>-3808.1225015232003</v>
      </c>
      <c r="E230" s="11">
        <f t="shared" si="22"/>
        <v>-3820.8467894015998</v>
      </c>
      <c r="F230" s="11">
        <f t="shared" si="22"/>
        <v>-3662.4676209407999</v>
      </c>
      <c r="G230" s="11">
        <f t="shared" si="22"/>
        <v>-3739.5344839103996</v>
      </c>
      <c r="H230" s="11">
        <f t="shared" si="22"/>
        <v>-3688.4330728895998</v>
      </c>
      <c r="I230" s="11">
        <f t="shared" si="22"/>
        <v>-3178.7508010943998</v>
      </c>
      <c r="J230" s="11">
        <f t="shared" si="22"/>
        <v>-3692.8815294336</v>
      </c>
      <c r="K230" s="11">
        <f t="shared" si="22"/>
        <v>-3146.9934296639999</v>
      </c>
      <c r="L230" s="11">
        <f t="shared" si="22"/>
        <v>-3232.0816299072003</v>
      </c>
      <c r="M230" s="11">
        <f t="shared" si="22"/>
        <v>-3366.7135548480001</v>
      </c>
      <c r="N230" s="11">
        <f t="shared" si="22"/>
        <v>-3384.7859544575995</v>
      </c>
      <c r="O230" s="11">
        <f t="shared" si="22"/>
        <v>-3352.7769950975994</v>
      </c>
    </row>
    <row r="231" spans="1:15">
      <c r="A231" t="s">
        <v>275</v>
      </c>
      <c r="B231" s="11">
        <f t="shared" ref="B231:O231" si="23">-(314*$B$201+$B$202)*B166/($B$200)/25</f>
        <v>-10780.721061527198</v>
      </c>
      <c r="C231" s="11">
        <f t="shared" si="23"/>
        <v>-10944.616209682399</v>
      </c>
      <c r="D231" s="11">
        <f t="shared" si="23"/>
        <v>-9821.8772281391994</v>
      </c>
      <c r="E231" s="11">
        <f t="shared" si="23"/>
        <v>-9732.3140945912</v>
      </c>
      <c r="F231" s="11">
        <f t="shared" si="23"/>
        <v>-10067.2677644336</v>
      </c>
      <c r="G231" s="11">
        <f t="shared" si="23"/>
        <v>-10147.475616006399</v>
      </c>
      <c r="H231" s="11">
        <f t="shared" si="23"/>
        <v>-10076.590148430399</v>
      </c>
      <c r="I231" s="11">
        <f t="shared" si="23"/>
        <v>-9298.4045958383995</v>
      </c>
      <c r="J231" s="11">
        <f t="shared" si="23"/>
        <v>-10478.167385000001</v>
      </c>
      <c r="K231" s="11">
        <f t="shared" si="23"/>
        <v>-9117.7998548895994</v>
      </c>
      <c r="L231" s="11">
        <f t="shared" si="23"/>
        <v>-8025.5611696735987</v>
      </c>
      <c r="M231" s="11">
        <f t="shared" si="23"/>
        <v>-8085.1942385199991</v>
      </c>
      <c r="N231" s="11">
        <f t="shared" si="23"/>
        <v>-8052.8897138479988</v>
      </c>
      <c r="O231" s="11">
        <f t="shared" si="23"/>
        <v>-8134.9611391383987</v>
      </c>
    </row>
    <row r="232" spans="1:15">
      <c r="A232" t="s">
        <v>276</v>
      </c>
      <c r="B232" s="11">
        <f t="shared" ref="B232:O232" si="24">-(365*$B$201+$B$202)*B167/($B$200)/25</f>
        <v>-1108.9786735211999</v>
      </c>
      <c r="C232" s="11">
        <f t="shared" si="24"/>
        <v>-1521.0407275753998</v>
      </c>
      <c r="D232" s="11">
        <f t="shared" si="24"/>
        <v>-722.35541811849998</v>
      </c>
      <c r="E232" s="11">
        <f t="shared" si="24"/>
        <v>-719.71707056604998</v>
      </c>
      <c r="F232" s="11">
        <f t="shared" si="24"/>
        <v>-865.13358080629985</v>
      </c>
      <c r="G232" s="11">
        <f t="shared" si="24"/>
        <v>-678.92802247185</v>
      </c>
      <c r="H232" s="11">
        <f t="shared" si="24"/>
        <v>-851.34354769114998</v>
      </c>
      <c r="I232" s="11">
        <f t="shared" si="24"/>
        <v>-961.47787621194993</v>
      </c>
      <c r="J232" s="11">
        <f t="shared" si="24"/>
        <v>-895.02435665769997</v>
      </c>
      <c r="K232" s="11">
        <f t="shared" si="24"/>
        <v>-1070.3736283881499</v>
      </c>
      <c r="L232" s="11">
        <f t="shared" si="24"/>
        <v>-2167.9532009751501</v>
      </c>
      <c r="M232" s="11">
        <f t="shared" si="24"/>
        <v>-2189.6830182847993</v>
      </c>
      <c r="N232" s="11">
        <f t="shared" si="24"/>
        <v>-2128.2130441074</v>
      </c>
      <c r="O232" s="11">
        <f t="shared" si="24"/>
        <v>-2132.1724397949497</v>
      </c>
    </row>
    <row r="233" spans="1:15">
      <c r="A233" t="s">
        <v>277</v>
      </c>
      <c r="B233" s="11">
        <f t="shared" ref="B233:O233" si="25">-(397*$B$201+$B$202)*B168/($B$200)/25</f>
        <v>-5.2154797265999999</v>
      </c>
      <c r="C233" s="11">
        <f t="shared" si="25"/>
        <v>-1.7939423700000002E-2</v>
      </c>
      <c r="D233" s="11">
        <f t="shared" si="25"/>
        <v>-20.080738547100001</v>
      </c>
      <c r="E233" s="11">
        <f t="shared" si="25"/>
        <v>-33.477410909250004</v>
      </c>
      <c r="F233" s="11">
        <f t="shared" si="25"/>
        <v>-19.254709628550003</v>
      </c>
      <c r="G233" s="11">
        <f t="shared" si="25"/>
        <v>-1.7939423700000002E-2</v>
      </c>
      <c r="H233" s="11">
        <f t="shared" si="25"/>
        <v>-2.0385708749999999E-2</v>
      </c>
      <c r="I233" s="11">
        <f t="shared" si="25"/>
        <v>-23.6066507325</v>
      </c>
      <c r="J233" s="11">
        <f t="shared" si="25"/>
        <v>-16.4096801154</v>
      </c>
      <c r="K233" s="11">
        <f t="shared" si="25"/>
        <v>-5.5334967831000004</v>
      </c>
      <c r="L233" s="11">
        <f t="shared" si="25"/>
        <v>-223.7959415142</v>
      </c>
      <c r="M233" s="11">
        <f t="shared" si="25"/>
        <v>-202.14061082325</v>
      </c>
      <c r="N233" s="11">
        <f t="shared" si="25"/>
        <v>-224.03078487900001</v>
      </c>
      <c r="O233" s="11">
        <f t="shared" si="25"/>
        <v>-245.63637444060004</v>
      </c>
    </row>
    <row r="234" spans="1:15">
      <c r="A234" t="s">
        <v>286</v>
      </c>
      <c r="B234" s="11">
        <f t="shared" ref="B234:O234" si="26">IF(B65&lt;0.3,-(100*$B$201+$B$202),0)</f>
        <v>0</v>
      </c>
      <c r="C234" s="11">
        <f t="shared" si="26"/>
        <v>0</v>
      </c>
      <c r="D234" s="11">
        <f t="shared" si="26"/>
        <v>0</v>
      </c>
      <c r="E234" s="11">
        <f t="shared" si="26"/>
        <v>0</v>
      </c>
      <c r="F234" s="11">
        <f t="shared" si="26"/>
        <v>0</v>
      </c>
      <c r="G234" s="11">
        <f t="shared" si="26"/>
        <v>0</v>
      </c>
      <c r="H234" s="11">
        <f t="shared" si="26"/>
        <v>0</v>
      </c>
      <c r="I234" s="11">
        <f t="shared" si="26"/>
        <v>0</v>
      </c>
      <c r="J234" s="11">
        <f t="shared" si="26"/>
        <v>0</v>
      </c>
      <c r="K234" s="11">
        <f t="shared" si="26"/>
        <v>0</v>
      </c>
      <c r="L234" s="11">
        <f t="shared" si="26"/>
        <v>-41158.26</v>
      </c>
      <c r="M234" s="11">
        <f t="shared" si="26"/>
        <v>-41158.26</v>
      </c>
      <c r="N234" s="11">
        <f t="shared" si="26"/>
        <v>-41158.26</v>
      </c>
      <c r="O234" s="11">
        <f t="shared" si="26"/>
        <v>-41158.26</v>
      </c>
    </row>
    <row r="235" spans="1:15">
      <c r="C235" s="15"/>
      <c r="D235" s="15"/>
      <c r="E235" s="15"/>
      <c r="F235" s="15"/>
      <c r="G235" s="15"/>
      <c r="H235" s="15"/>
      <c r="I235" s="15"/>
      <c r="J235" s="15"/>
      <c r="K235" s="15"/>
      <c r="L235" s="15"/>
      <c r="M235" s="15"/>
      <c r="N235" s="15"/>
      <c r="O235" s="15"/>
    </row>
    <row r="236" spans="1:15">
      <c r="A236" t="s">
        <v>279</v>
      </c>
      <c r="C236" s="15"/>
      <c r="D236" s="15"/>
      <c r="E236" s="15"/>
      <c r="F236" s="15"/>
      <c r="G236" s="15"/>
      <c r="H236" s="15"/>
      <c r="I236" s="15"/>
      <c r="J236" s="15"/>
      <c r="K236" s="15"/>
      <c r="L236" s="15"/>
      <c r="M236" s="15"/>
      <c r="N236" s="15"/>
      <c r="O236" s="15"/>
    </row>
    <row r="237" spans="1:15">
      <c r="A237" t="s">
        <v>274</v>
      </c>
      <c r="B237" s="11">
        <f t="shared" ref="B237:O237" si="27">-$B204*B165/25</f>
        <v>-52428.947519700007</v>
      </c>
      <c r="C237" s="11">
        <f t="shared" si="27"/>
        <v>-50923.280913000002</v>
      </c>
      <c r="D237" s="11">
        <f t="shared" si="27"/>
        <v>-57900.373412100009</v>
      </c>
      <c r="E237" s="11">
        <f t="shared" si="27"/>
        <v>-58093.839094800001</v>
      </c>
      <c r="F237" s="11">
        <f t="shared" si="27"/>
        <v>-55685.772392400009</v>
      </c>
      <c r="G237" s="11">
        <f t="shared" si="27"/>
        <v>-56857.530953699999</v>
      </c>
      <c r="H237" s="11">
        <f t="shared" si="27"/>
        <v>-56080.562571299997</v>
      </c>
      <c r="I237" s="11">
        <f t="shared" si="27"/>
        <v>-48331.128605700003</v>
      </c>
      <c r="J237" s="11">
        <f t="shared" si="27"/>
        <v>-56148.198865800005</v>
      </c>
      <c r="K237" s="11">
        <f t="shared" si="27"/>
        <v>-47848.275529500002</v>
      </c>
      <c r="L237" s="11">
        <f t="shared" si="27"/>
        <v>-49141.994039099998</v>
      </c>
      <c r="M237" s="11">
        <f t="shared" si="27"/>
        <v>-51188.99718150001</v>
      </c>
      <c r="N237" s="11">
        <f t="shared" si="27"/>
        <v>-51463.777912800004</v>
      </c>
      <c r="O237" s="11">
        <f t="shared" si="27"/>
        <v>-50977.099582800009</v>
      </c>
    </row>
    <row r="238" spans="1:15">
      <c r="A238" t="s">
        <v>275</v>
      </c>
      <c r="B238" s="11">
        <f t="shared" ref="B238:O238" si="28">-$B205*B166/25</f>
        <v>-109988.4962013</v>
      </c>
      <c r="C238" s="11">
        <f t="shared" si="28"/>
        <v>-111660.60892710001</v>
      </c>
      <c r="D238" s="11">
        <f t="shared" si="28"/>
        <v>-100206.05301180002</v>
      </c>
      <c r="E238" s="11">
        <f t="shared" si="28"/>
        <v>-99292.300182300009</v>
      </c>
      <c r="F238" s="11">
        <f t="shared" si="28"/>
        <v>-102709.60874940002</v>
      </c>
      <c r="G238" s="11">
        <f t="shared" si="28"/>
        <v>-103527.9158856</v>
      </c>
      <c r="H238" s="11">
        <f t="shared" si="28"/>
        <v>-102804.71880660001</v>
      </c>
      <c r="I238" s="11">
        <f t="shared" si="28"/>
        <v>-94865.411388600027</v>
      </c>
      <c r="J238" s="11">
        <f t="shared" si="28"/>
        <v>-106901.74312500002</v>
      </c>
      <c r="K238" s="11">
        <f t="shared" si="28"/>
        <v>-93022.82184840001</v>
      </c>
      <c r="L238" s="11">
        <f t="shared" si="28"/>
        <v>-81879.440084400005</v>
      </c>
      <c r="M238" s="11">
        <f t="shared" si="28"/>
        <v>-82487.836455000011</v>
      </c>
      <c r="N238" s="11">
        <f t="shared" si="28"/>
        <v>-82158.254967000015</v>
      </c>
      <c r="O238" s="11">
        <f t="shared" si="28"/>
        <v>-82995.574901100001</v>
      </c>
    </row>
    <row r="239" spans="1:15">
      <c r="A239" t="s">
        <v>276</v>
      </c>
      <c r="B239" s="11">
        <f t="shared" ref="B239:O239" si="29">-$B206*B167/25</f>
        <v>-9915.4418040000019</v>
      </c>
      <c r="C239" s="11">
        <f t="shared" si="29"/>
        <v>-13599.712218000002</v>
      </c>
      <c r="D239" s="11">
        <f t="shared" si="29"/>
        <v>-6458.621145000001</v>
      </c>
      <c r="E239" s="11">
        <f t="shared" si="29"/>
        <v>-6435.0315285000006</v>
      </c>
      <c r="F239" s="11">
        <f t="shared" si="29"/>
        <v>-7735.2088710000007</v>
      </c>
      <c r="G239" s="11">
        <f t="shared" si="29"/>
        <v>-6070.3343144999999</v>
      </c>
      <c r="H239" s="11">
        <f t="shared" si="29"/>
        <v>-7611.9113955000012</v>
      </c>
      <c r="I239" s="11">
        <f t="shared" si="29"/>
        <v>-8596.6287315000009</v>
      </c>
      <c r="J239" s="11">
        <f t="shared" si="29"/>
        <v>-8002.4640090000012</v>
      </c>
      <c r="K239" s="11">
        <f t="shared" si="29"/>
        <v>-9570.2718855000021</v>
      </c>
      <c r="L239" s="11">
        <f t="shared" si="29"/>
        <v>-19383.793675500005</v>
      </c>
      <c r="M239" s="11">
        <f t="shared" si="29"/>
        <v>-19578.081216000002</v>
      </c>
      <c r="N239" s="11">
        <f t="shared" si="29"/>
        <v>-19028.474658000003</v>
      </c>
      <c r="O239" s="11">
        <f t="shared" si="29"/>
        <v>-19063.875841500001</v>
      </c>
    </row>
    <row r="240" spans="1:15">
      <c r="A240" t="s">
        <v>277</v>
      </c>
      <c r="B240" s="11">
        <f t="shared" ref="B240:O240" si="30">-$B207*B168/25</f>
        <v>-43.856718495652174</v>
      </c>
      <c r="C240" s="11">
        <f t="shared" si="30"/>
        <v>-0.15085175217391306</v>
      </c>
      <c r="D240" s="11">
        <f t="shared" si="30"/>
        <v>-168.85796586521741</v>
      </c>
      <c r="E240" s="11">
        <f t="shared" si="30"/>
        <v>-281.50994025000006</v>
      </c>
      <c r="F240" s="11">
        <f t="shared" si="30"/>
        <v>-161.91192836739131</v>
      </c>
      <c r="G240" s="11">
        <f t="shared" si="30"/>
        <v>-0.15085175217391306</v>
      </c>
      <c r="H240" s="11">
        <f t="shared" si="30"/>
        <v>-0.17142244565217393</v>
      </c>
      <c r="I240" s="11">
        <f t="shared" si="30"/>
        <v>-198.50719206521742</v>
      </c>
      <c r="J240" s="11">
        <f t="shared" si="30"/>
        <v>-137.98821185217395</v>
      </c>
      <c r="K240" s="11">
        <f t="shared" si="30"/>
        <v>-46.530908647826088</v>
      </c>
      <c r="L240" s="11">
        <f t="shared" si="30"/>
        <v>-1881.8893221652177</v>
      </c>
      <c r="M240" s="11">
        <f t="shared" si="30"/>
        <v>-1699.7906865978262</v>
      </c>
      <c r="N240" s="11">
        <f t="shared" si="30"/>
        <v>-1883.8641087391306</v>
      </c>
      <c r="O240" s="11">
        <f t="shared" si="30"/>
        <v>-2065.5444735391306</v>
      </c>
    </row>
    <row r="241" spans="1:23">
      <c r="F241" s="15"/>
      <c r="G241" s="15"/>
      <c r="H241" s="15"/>
      <c r="I241" s="15"/>
      <c r="J241" s="15"/>
      <c r="K241" s="15"/>
      <c r="L241" s="15"/>
      <c r="M241" s="15"/>
      <c r="N241" s="15"/>
      <c r="O241" s="15"/>
    </row>
    <row r="242" spans="1:23">
      <c r="A242" t="s">
        <v>231</v>
      </c>
      <c r="B242" s="2">
        <f t="shared" ref="B242:O242" si="31">B50*24*365</f>
        <v>117033.59999999999</v>
      </c>
      <c r="C242" s="2">
        <f t="shared" si="31"/>
        <v>116945.99999999999</v>
      </c>
      <c r="D242" s="2">
        <f t="shared" si="31"/>
        <v>105207.6</v>
      </c>
      <c r="E242" s="2">
        <f t="shared" si="31"/>
        <v>105120</v>
      </c>
      <c r="F242" s="2">
        <f t="shared" si="31"/>
        <v>100214.39999999999</v>
      </c>
      <c r="G242" s="2">
        <f t="shared" si="31"/>
        <v>100214.39999999999</v>
      </c>
      <c r="H242" s="2">
        <f t="shared" si="31"/>
        <v>100214.39999999999</v>
      </c>
      <c r="I242" s="2">
        <f t="shared" si="31"/>
        <v>83307.600000000006</v>
      </c>
      <c r="J242" s="2">
        <f t="shared" si="31"/>
        <v>94170</v>
      </c>
      <c r="K242" s="2">
        <f t="shared" si="31"/>
        <v>78314.399999999994</v>
      </c>
      <c r="L242" s="2">
        <f t="shared" si="31"/>
        <v>63947.999999999993</v>
      </c>
      <c r="M242" s="2">
        <f t="shared" si="31"/>
        <v>34602.000000000007</v>
      </c>
      <c r="N242" s="2">
        <f t="shared" si="31"/>
        <v>33638.400000000001</v>
      </c>
      <c r="O242" s="2">
        <f t="shared" si="31"/>
        <v>31360.799999999999</v>
      </c>
    </row>
    <row r="243" spans="1:23">
      <c r="A243" t="s">
        <v>224</v>
      </c>
      <c r="B243" s="2">
        <f t="shared" ref="B243:O243" si="32">(B41+B40)/$B$178/$B$179/25-B51</f>
        <v>33778.535350282145</v>
      </c>
      <c r="C243" s="2">
        <f t="shared" si="32"/>
        <v>33778.22535028214</v>
      </c>
      <c r="D243" s="2">
        <f t="shared" si="32"/>
        <v>34710.955350282144</v>
      </c>
      <c r="E243" s="2">
        <f t="shared" si="32"/>
        <v>34710.875360467639</v>
      </c>
      <c r="F243" s="2">
        <f t="shared" si="32"/>
        <v>34539.585350282141</v>
      </c>
      <c r="G243" s="2">
        <f t="shared" si="32"/>
        <v>34539.775350282143</v>
      </c>
      <c r="H243" s="2">
        <f t="shared" si="32"/>
        <v>34539.605350282145</v>
      </c>
      <c r="I243" s="2">
        <f t="shared" si="32"/>
        <v>35490.86535028214</v>
      </c>
      <c r="J243" s="2">
        <f t="shared" si="32"/>
        <v>32496.205350282144</v>
      </c>
      <c r="K243" s="2">
        <f t="shared" si="32"/>
        <v>32929.505350282139</v>
      </c>
      <c r="L243" s="2">
        <f t="shared" si="32"/>
        <v>33083.415360467639</v>
      </c>
      <c r="M243" s="2">
        <f t="shared" si="32"/>
        <v>31069.545350282144</v>
      </c>
      <c r="N243" s="2">
        <f t="shared" si="32"/>
        <v>29472.015350282138</v>
      </c>
      <c r="O243" s="2">
        <f t="shared" si="32"/>
        <v>25394.145350282135</v>
      </c>
    </row>
    <row r="244" spans="1:23">
      <c r="A244" t="s">
        <v>232</v>
      </c>
      <c r="B244" s="2">
        <f t="shared" ref="B244:O244" si="33">B242+B243</f>
        <v>150812.13535028213</v>
      </c>
      <c r="C244" s="2">
        <f t="shared" si="33"/>
        <v>150724.22535028213</v>
      </c>
      <c r="D244" s="2">
        <f t="shared" si="33"/>
        <v>139918.55535028214</v>
      </c>
      <c r="E244" s="2">
        <f t="shared" si="33"/>
        <v>139830.87536046765</v>
      </c>
      <c r="F244" s="2">
        <f t="shared" si="33"/>
        <v>134753.98535028214</v>
      </c>
      <c r="G244" s="2">
        <f t="shared" si="33"/>
        <v>134754.17535028214</v>
      </c>
      <c r="H244" s="2">
        <f t="shared" si="33"/>
        <v>134754.00535028212</v>
      </c>
      <c r="I244" s="2">
        <f t="shared" si="33"/>
        <v>118798.46535028215</v>
      </c>
      <c r="J244" s="2">
        <f t="shared" si="33"/>
        <v>126666.20535028214</v>
      </c>
      <c r="K244" s="2">
        <f t="shared" si="33"/>
        <v>111243.90535028213</v>
      </c>
      <c r="L244" s="2">
        <f t="shared" si="33"/>
        <v>97031.415360467625</v>
      </c>
      <c r="M244" s="2">
        <f t="shared" si="33"/>
        <v>65671.545350282147</v>
      </c>
      <c r="N244" s="2">
        <f t="shared" si="33"/>
        <v>63110.415350282143</v>
      </c>
      <c r="O244" s="2">
        <f t="shared" si="33"/>
        <v>56754.945350282134</v>
      </c>
    </row>
    <row r="245" spans="1:23">
      <c r="B245" s="2"/>
      <c r="C245" s="2"/>
      <c r="D245" s="2"/>
      <c r="E245" s="2"/>
      <c r="F245" s="2"/>
      <c r="G245" s="2"/>
      <c r="H245" s="2"/>
      <c r="I245" s="2"/>
      <c r="J245" s="2"/>
      <c r="K245" s="2"/>
      <c r="L245" s="2"/>
      <c r="M245" s="2"/>
      <c r="N245" s="2"/>
      <c r="O245" s="2"/>
    </row>
    <row r="246" spans="1:23">
      <c r="A246" t="s">
        <v>330</v>
      </c>
      <c r="B246" s="2">
        <f t="shared" ref="B246:G246" si="34">IF(B45="No Generator",0,IF(B45="WG 100",1,IF(B45="WG 200",2,IF(B45="WG 300",3,IF(B45="WG 400",4,IF(B45="WG 500",5))))))</f>
        <v>0</v>
      </c>
      <c r="C246" s="2">
        <f t="shared" si="34"/>
        <v>0</v>
      </c>
      <c r="D246" s="2">
        <f t="shared" si="34"/>
        <v>0</v>
      </c>
      <c r="E246" s="2">
        <f t="shared" si="34"/>
        <v>0</v>
      </c>
      <c r="F246" s="2">
        <f t="shared" si="34"/>
        <v>0</v>
      </c>
      <c r="G246" s="2">
        <f t="shared" si="34"/>
        <v>0</v>
      </c>
      <c r="H246" s="2">
        <f t="shared" ref="H246:O246" si="35">IF(H45="No Generator",0,IF(H45="WG 100",1,IF(H45="WG 200",2,IF(H45="WG 300",3,IF(H45="WG 400",4,IF(H45="WG 500",5))))))</f>
        <v>0</v>
      </c>
      <c r="I246" s="2">
        <f t="shared" si="35"/>
        <v>1</v>
      </c>
      <c r="J246" s="2">
        <f t="shared" si="35"/>
        <v>0</v>
      </c>
      <c r="K246" s="2">
        <f t="shared" si="35"/>
        <v>1</v>
      </c>
      <c r="L246" s="2">
        <f t="shared" si="35"/>
        <v>2</v>
      </c>
      <c r="M246" s="2">
        <f t="shared" si="35"/>
        <v>5</v>
      </c>
      <c r="N246" s="2">
        <f t="shared" si="35"/>
        <v>5</v>
      </c>
      <c r="O246" s="2">
        <f t="shared" si="35"/>
        <v>5</v>
      </c>
      <c r="P246" s="2"/>
      <c r="Q246" s="2"/>
      <c r="R246" s="2"/>
      <c r="S246" s="2"/>
      <c r="T246" s="2"/>
      <c r="U246" s="2"/>
      <c r="V246" s="2"/>
      <c r="W246" s="2"/>
    </row>
    <row r="247" spans="1:23">
      <c r="A247" t="s">
        <v>331</v>
      </c>
      <c r="B247" s="2">
        <f>IF(B43="No Generator",0,IF(B43="SG 100",1,IF(B43="SG 200",2,IF(B43="SG 300",3,IF(B43="SG 400",4,IF(B43="SG 500",5))))))</f>
        <v>0</v>
      </c>
      <c r="C247" s="2">
        <f t="shared" ref="C247:O247" si="36">IF(C43="No Generator",0,IF(C43="SG 100",1,IF(C43="SG 200",2,IF(C43="SG 300",3,IF(C43="SG 400",4,IF(C43="SG 500",5))))))</f>
        <v>0</v>
      </c>
      <c r="D247" s="2">
        <f t="shared" si="36"/>
        <v>2</v>
      </c>
      <c r="E247" s="2">
        <f t="shared" si="36"/>
        <v>2</v>
      </c>
      <c r="F247" s="2">
        <f t="shared" si="36"/>
        <v>3</v>
      </c>
      <c r="G247" s="2">
        <f t="shared" si="36"/>
        <v>3</v>
      </c>
      <c r="H247" s="2">
        <f t="shared" si="36"/>
        <v>3</v>
      </c>
      <c r="I247" s="2">
        <f t="shared" si="36"/>
        <v>3</v>
      </c>
      <c r="J247" s="2">
        <f t="shared" si="36"/>
        <v>5</v>
      </c>
      <c r="K247" s="2">
        <f t="shared" si="36"/>
        <v>5</v>
      </c>
      <c r="L247" s="2">
        <f t="shared" si="36"/>
        <v>5</v>
      </c>
      <c r="M247" s="2">
        <f t="shared" si="36"/>
        <v>2</v>
      </c>
      <c r="N247" s="2">
        <f t="shared" si="36"/>
        <v>3</v>
      </c>
      <c r="O247" s="2">
        <f t="shared" si="36"/>
        <v>5</v>
      </c>
      <c r="P247" s="2"/>
      <c r="Q247" s="2"/>
      <c r="R247" s="2"/>
      <c r="S247" s="2"/>
      <c r="T247" s="2"/>
      <c r="U247" s="2"/>
      <c r="V247" s="2"/>
      <c r="W247" s="2"/>
    </row>
    <row r="248" spans="1:23">
      <c r="A248" t="s">
        <v>339</v>
      </c>
      <c r="B248" s="11">
        <f t="shared" ref="B248:G248" si="37">-IF(B246=0,0,IF(B246=1,$B$209*(1),IF(B246=2,$B$209*(1+0.95),IF(B246=3,$B$209*(1+0.95+0.9),IF(B246=4,$B$209*(1+0.95+0.9+0.85),IF(B246=5,$B$209*(1+0.95+0.9+0.85+0.8)))))))</f>
        <v>0</v>
      </c>
      <c r="C248" s="11">
        <f t="shared" si="37"/>
        <v>0</v>
      </c>
      <c r="D248" s="11">
        <f t="shared" si="37"/>
        <v>0</v>
      </c>
      <c r="E248" s="11">
        <f t="shared" si="37"/>
        <v>0</v>
      </c>
      <c r="F248" s="11">
        <f t="shared" si="37"/>
        <v>0</v>
      </c>
      <c r="G248" s="11">
        <f t="shared" si="37"/>
        <v>0</v>
      </c>
      <c r="H248" s="11">
        <f t="shared" ref="H248:O248" si="38">-IF(H246=0,0,IF(H246=1,$B$209*(1),IF(H246=2,$B$209*(1+0.95),IF(H246=3,$B$209*(1+0.95+0.9),IF(H246=4,$B$209*(1+0.95+0.9+0.85),IF(H246=5,$B$209*(1+0.95+0.9+0.85+0.8)))))))</f>
        <v>0</v>
      </c>
      <c r="I248" s="11">
        <f t="shared" si="38"/>
        <v>-560000</v>
      </c>
      <c r="J248" s="11">
        <f t="shared" si="38"/>
        <v>0</v>
      </c>
      <c r="K248" s="11">
        <f t="shared" si="38"/>
        <v>-560000</v>
      </c>
      <c r="L248" s="11">
        <f t="shared" si="38"/>
        <v>-1092000</v>
      </c>
      <c r="M248" s="11">
        <f t="shared" si="38"/>
        <v>-2520000</v>
      </c>
      <c r="N248" s="11">
        <f t="shared" si="38"/>
        <v>-2520000</v>
      </c>
      <c r="O248" s="11">
        <f t="shared" si="38"/>
        <v>-2520000</v>
      </c>
      <c r="P248" s="11"/>
      <c r="Q248" s="11"/>
      <c r="R248" s="11"/>
      <c r="S248" s="11"/>
      <c r="T248" s="11"/>
      <c r="U248" s="11"/>
      <c r="V248" s="11"/>
      <c r="W248" s="11"/>
    </row>
    <row r="249" spans="1:23">
      <c r="A249" t="s">
        <v>352</v>
      </c>
      <c r="B249" s="11">
        <v>0</v>
      </c>
      <c r="C249" s="11">
        <v>0</v>
      </c>
      <c r="D249" s="11">
        <v>0</v>
      </c>
      <c r="E249" s="11">
        <v>0</v>
      </c>
      <c r="F249" s="11">
        <v>0</v>
      </c>
      <c r="G249" s="11">
        <v>0</v>
      </c>
      <c r="H249" s="11">
        <v>0</v>
      </c>
      <c r="I249" s="11">
        <v>0</v>
      </c>
      <c r="J249" s="11">
        <v>0</v>
      </c>
      <c r="K249" s="11">
        <v>0</v>
      </c>
      <c r="L249" s="11">
        <v>0</v>
      </c>
      <c r="M249" s="11">
        <v>0</v>
      </c>
      <c r="N249" s="11">
        <v>0</v>
      </c>
      <c r="O249" s="11">
        <v>0</v>
      </c>
      <c r="P249" s="11"/>
      <c r="Q249" s="11"/>
      <c r="R249" s="11"/>
      <c r="S249" s="11"/>
      <c r="T249" s="11"/>
      <c r="U249" s="11"/>
      <c r="V249" s="11"/>
      <c r="W249" s="11"/>
    </row>
    <row r="250" spans="1:23">
      <c r="A250" t="s">
        <v>336</v>
      </c>
      <c r="B250" s="11">
        <f>-NPV($B$173,0,0,0,0,0,0,0,0,0,0,875*B247*100)</f>
        <v>0</v>
      </c>
      <c r="C250" s="11">
        <f>-NPV($B$173,0,0,0,0,0,0,0,0,0,0,875*C247*100)</f>
        <v>0</v>
      </c>
      <c r="D250" s="11">
        <f t="shared" ref="D250:O250" si="39">-NPV($B$173,0,0,0,0,0,0,0,0,0,0,875*D247*100)</f>
        <v>-126423.72340478336</v>
      </c>
      <c r="E250" s="11">
        <f t="shared" si="39"/>
        <v>-126423.72340478336</v>
      </c>
      <c r="F250" s="11">
        <f t="shared" si="39"/>
        <v>-189635.58510717505</v>
      </c>
      <c r="G250" s="11">
        <f>-NPV($B$173,0,0,0,0,0,0,0,0,0,0,875*G247*100)</f>
        <v>-189635.58510717505</v>
      </c>
      <c r="H250" s="11">
        <f t="shared" si="39"/>
        <v>-189635.58510717505</v>
      </c>
      <c r="I250" s="11">
        <f t="shared" si="39"/>
        <v>-189635.58510717505</v>
      </c>
      <c r="J250" s="11">
        <f t="shared" si="39"/>
        <v>-316059.3085119584</v>
      </c>
      <c r="K250" s="11">
        <f t="shared" si="39"/>
        <v>-316059.3085119584</v>
      </c>
      <c r="L250" s="11">
        <f t="shared" si="39"/>
        <v>-316059.3085119584</v>
      </c>
      <c r="M250" s="11">
        <f t="shared" si="39"/>
        <v>-126423.72340478336</v>
      </c>
      <c r="N250" s="11">
        <f t="shared" si="39"/>
        <v>-189635.58510717505</v>
      </c>
      <c r="O250" s="11">
        <f t="shared" si="39"/>
        <v>-316059.3085119584</v>
      </c>
      <c r="P250" s="11"/>
      <c r="Q250" s="11"/>
      <c r="R250" s="11"/>
      <c r="S250" s="11"/>
      <c r="T250" s="11"/>
      <c r="U250" s="11"/>
      <c r="V250" s="11"/>
      <c r="W250" s="11"/>
    </row>
    <row r="251" spans="1:23">
      <c r="A251" t="s">
        <v>340</v>
      </c>
      <c r="B251" s="11">
        <f t="shared" ref="B251:G251" si="40">-IF(B247=0,0,IF(B247=1,17500*(1),IF(B247=2,17500*(1+0.975),IF(B247=3,17500*(1+0.975+0.95),IF(B247=4,17500*(1+0.975+0.95+0.925),IF(B247=5,17500*(1+0.975+0.95+0.925+0.9)))))))</f>
        <v>0</v>
      </c>
      <c r="C251" s="11">
        <f t="shared" si="40"/>
        <v>0</v>
      </c>
      <c r="D251" s="11">
        <f t="shared" si="40"/>
        <v>-34562.5</v>
      </c>
      <c r="E251" s="11">
        <f t="shared" si="40"/>
        <v>-34562.5</v>
      </c>
      <c r="F251" s="11">
        <f t="shared" si="40"/>
        <v>-51187.5</v>
      </c>
      <c r="G251" s="11">
        <f t="shared" si="40"/>
        <v>-51187.5</v>
      </c>
      <c r="H251" s="11">
        <f t="shared" ref="H251:O251" si="41">-IF(H247=0,0,IF(H247=1,17500*(1),IF(H247=2,17500*(1+0.975),IF(H247=3,17500*(1+0.975+0.95),IF(H247=4,17500*(1+0.975+0.95+0.925),IF(H247=5,17500*(1+0.975+0.95+0.925+0.9)))))))</f>
        <v>-51187.5</v>
      </c>
      <c r="I251" s="11">
        <f t="shared" si="41"/>
        <v>-51187.5</v>
      </c>
      <c r="J251" s="11">
        <f t="shared" si="41"/>
        <v>-83125</v>
      </c>
      <c r="K251" s="11">
        <f t="shared" si="41"/>
        <v>-83125</v>
      </c>
      <c r="L251" s="11">
        <f t="shared" si="41"/>
        <v>-83125</v>
      </c>
      <c r="M251" s="11">
        <f t="shared" si="41"/>
        <v>-34562.5</v>
      </c>
      <c r="N251" s="11">
        <f t="shared" si="41"/>
        <v>-51187.5</v>
      </c>
      <c r="O251" s="11">
        <f t="shared" si="41"/>
        <v>-83125</v>
      </c>
      <c r="P251" s="11"/>
      <c r="Q251" s="11"/>
      <c r="R251" s="11"/>
      <c r="S251" s="11"/>
      <c r="T251" s="11"/>
      <c r="U251" s="11"/>
      <c r="V251" s="11"/>
      <c r="W251" s="11"/>
    </row>
    <row r="252" spans="1:23">
      <c r="A252" t="s">
        <v>341</v>
      </c>
      <c r="B252" s="11">
        <f t="shared" ref="B252:O252" si="42">-B247*$B$211*24*365</f>
        <v>0</v>
      </c>
      <c r="C252" s="11">
        <f t="shared" si="42"/>
        <v>0</v>
      </c>
      <c r="D252" s="11">
        <f t="shared" si="42"/>
        <v>-9460.8000000000011</v>
      </c>
      <c r="E252" s="11">
        <f t="shared" si="42"/>
        <v>-9460.8000000000011</v>
      </c>
      <c r="F252" s="11">
        <f t="shared" si="42"/>
        <v>-14191.2</v>
      </c>
      <c r="G252" s="11">
        <f t="shared" si="42"/>
        <v>-14191.2</v>
      </c>
      <c r="H252" s="11">
        <f t="shared" si="42"/>
        <v>-14191.2</v>
      </c>
      <c r="I252" s="11">
        <f t="shared" si="42"/>
        <v>-14191.2</v>
      </c>
      <c r="J252" s="11">
        <f t="shared" si="42"/>
        <v>-23652.000000000004</v>
      </c>
      <c r="K252" s="11">
        <f t="shared" si="42"/>
        <v>-23652.000000000004</v>
      </c>
      <c r="L252" s="11">
        <f t="shared" si="42"/>
        <v>-23652.000000000004</v>
      </c>
      <c r="M252" s="11">
        <f t="shared" si="42"/>
        <v>-9460.8000000000011</v>
      </c>
      <c r="N252" s="11">
        <f t="shared" si="42"/>
        <v>-14191.2</v>
      </c>
      <c r="O252" s="11">
        <f t="shared" si="42"/>
        <v>-23652.000000000004</v>
      </c>
      <c r="P252" s="11"/>
      <c r="Q252" s="11"/>
      <c r="R252" s="11"/>
      <c r="S252" s="11"/>
      <c r="T252" s="11"/>
      <c r="U252" s="11"/>
      <c r="V252" s="11"/>
      <c r="W252" s="11"/>
    </row>
    <row r="253" spans="1:23">
      <c r="B253" s="2"/>
      <c r="C253" s="2"/>
      <c r="D253" s="2"/>
      <c r="E253" s="2"/>
      <c r="F253" s="2"/>
      <c r="G253" s="2"/>
      <c r="H253" s="2"/>
      <c r="I253" s="2"/>
      <c r="J253" s="2"/>
      <c r="K253" s="2"/>
      <c r="L253" s="2"/>
      <c r="M253" s="2"/>
      <c r="N253" s="2"/>
      <c r="O253" s="2"/>
    </row>
    <row r="254" spans="1:23">
      <c r="A254" t="s">
        <v>337</v>
      </c>
      <c r="B254" s="2"/>
      <c r="C254" s="2"/>
      <c r="D254" s="2"/>
      <c r="E254" s="2"/>
      <c r="F254" s="2"/>
      <c r="G254" s="2"/>
      <c r="H254" s="2"/>
      <c r="I254" s="2"/>
      <c r="J254" s="2"/>
      <c r="K254" s="2"/>
      <c r="L254" s="2"/>
      <c r="M254" s="2"/>
      <c r="N254" s="2"/>
      <c r="O254" s="2"/>
      <c r="P254" s="2"/>
      <c r="Q254" s="2"/>
    </row>
    <row r="255" spans="1:23">
      <c r="A255" t="s">
        <v>100</v>
      </c>
      <c r="B255" s="2"/>
      <c r="C255" s="2"/>
      <c r="D255" s="2"/>
      <c r="E255" s="2"/>
      <c r="F255" s="2"/>
      <c r="G255" s="2"/>
      <c r="H255" s="2"/>
      <c r="I255" s="2"/>
      <c r="J255" s="2"/>
      <c r="K255" s="2"/>
      <c r="L255" s="2"/>
      <c r="M255" s="2"/>
      <c r="N255" s="2"/>
      <c r="O255" s="2"/>
      <c r="P255" s="2"/>
      <c r="Q255" s="2"/>
    </row>
    <row r="256" spans="1:23">
      <c r="A256">
        <v>1</v>
      </c>
      <c r="B256" s="11">
        <f t="shared" ref="B256:O256" si="43">SUM(B237:B240,B230:B233,B251:B252)</f>
        <v>-187719.9228668531</v>
      </c>
      <c r="C256" s="11">
        <f t="shared" si="43"/>
        <v>-191998.66511382969</v>
      </c>
      <c r="D256" s="11">
        <f t="shared" si="43"/>
        <v>-223129.64142109329</v>
      </c>
      <c r="E256" s="11">
        <f t="shared" si="43"/>
        <v>-222432.33611131809</v>
      </c>
      <c r="F256" s="11">
        <f t="shared" si="43"/>
        <v>-246285.32561697668</v>
      </c>
      <c r="G256" s="11">
        <f t="shared" si="43"/>
        <v>-246400.5880673645</v>
      </c>
      <c r="H256" s="11">
        <f t="shared" si="43"/>
        <v>-246492.45135056559</v>
      </c>
      <c r="I256" s="11">
        <f t="shared" si="43"/>
        <v>-230832.61584174249</v>
      </c>
      <c r="J256" s="11">
        <f t="shared" si="43"/>
        <v>-293049.8771628589</v>
      </c>
      <c r="K256" s="11">
        <f t="shared" si="43"/>
        <v>-270605.60058177268</v>
      </c>
      <c r="L256" s="11">
        <f t="shared" si="43"/>
        <v>-272713.50906323537</v>
      </c>
      <c r="M256" s="11">
        <f t="shared" si="43"/>
        <v>-212821.73696157386</v>
      </c>
      <c r="N256" s="11">
        <f t="shared" si="43"/>
        <v>-233702.99114383114</v>
      </c>
      <c r="O256" s="11">
        <f t="shared" si="43"/>
        <v>-275744.64174741076</v>
      </c>
      <c r="P256" s="11"/>
      <c r="Q256" s="11"/>
      <c r="R256" s="11"/>
      <c r="S256" s="11"/>
      <c r="T256" s="11"/>
      <c r="U256" s="11"/>
      <c r="V256" s="11"/>
      <c r="W256" s="11"/>
    </row>
    <row r="257" spans="1:15">
      <c r="A257">
        <v>2</v>
      </c>
      <c r="B257" s="11">
        <f t="shared" ref="B257:K266" si="44">B$256/((1+$B$173)^$A257)</f>
        <v>-176944.03135719965</v>
      </c>
      <c r="C257" s="11">
        <f t="shared" si="44"/>
        <v>-180977.15629543754</v>
      </c>
      <c r="D257" s="11">
        <f t="shared" si="44"/>
        <v>-210321.08721000404</v>
      </c>
      <c r="E257" s="11">
        <f t="shared" si="44"/>
        <v>-209663.8100775927</v>
      </c>
      <c r="F257" s="11">
        <f t="shared" si="44"/>
        <v>-232147.54040623686</v>
      </c>
      <c r="G257" s="11">
        <f t="shared" si="44"/>
        <v>-232256.18632044917</v>
      </c>
      <c r="H257" s="11">
        <f t="shared" si="44"/>
        <v>-232342.77627539411</v>
      </c>
      <c r="I257" s="11">
        <f t="shared" si="44"/>
        <v>-217581.87938706993</v>
      </c>
      <c r="J257" s="11">
        <f t="shared" si="44"/>
        <v>-276227.61538586003</v>
      </c>
      <c r="K257" s="11">
        <f t="shared" si="44"/>
        <v>-255071.73209706164</v>
      </c>
      <c r="L257" s="11">
        <f t="shared" ref="L257:O266" si="45">L$256/((1+$B$173)^$A257)</f>
        <v>-257058.63800851672</v>
      </c>
      <c r="M257" s="11">
        <f t="shared" si="45"/>
        <v>-200604.89863471946</v>
      </c>
      <c r="N257" s="11">
        <f t="shared" si="45"/>
        <v>-220287.48340449727</v>
      </c>
      <c r="O257" s="11">
        <f t="shared" si="45"/>
        <v>-259915.77127666204</v>
      </c>
    </row>
    <row r="258" spans="1:15">
      <c r="A258">
        <v>3</v>
      </c>
      <c r="B258" s="11">
        <f t="shared" si="44"/>
        <v>-171790.32170601908</v>
      </c>
      <c r="C258" s="11">
        <f t="shared" si="44"/>
        <v>-175705.97698586169</v>
      </c>
      <c r="D258" s="11">
        <f t="shared" si="44"/>
        <v>-204195.2303009748</v>
      </c>
      <c r="E258" s="11">
        <f t="shared" si="44"/>
        <v>-203557.09716271135</v>
      </c>
      <c r="F258" s="11">
        <f t="shared" si="44"/>
        <v>-225385.96155945325</v>
      </c>
      <c r="G258" s="11">
        <f t="shared" si="44"/>
        <v>-225491.44302956227</v>
      </c>
      <c r="H258" s="11">
        <f t="shared" si="44"/>
        <v>-225575.51094698455</v>
      </c>
      <c r="I258" s="11">
        <f t="shared" si="44"/>
        <v>-211244.54309424266</v>
      </c>
      <c r="J258" s="11">
        <f t="shared" si="44"/>
        <v>-268182.15086005826</v>
      </c>
      <c r="K258" s="11">
        <f t="shared" si="44"/>
        <v>-247642.45834666176</v>
      </c>
      <c r="L258" s="11">
        <f t="shared" si="45"/>
        <v>-249571.49321215213</v>
      </c>
      <c r="M258" s="11">
        <f t="shared" si="45"/>
        <v>-194762.03750943634</v>
      </c>
      <c r="N258" s="11">
        <f t="shared" si="45"/>
        <v>-213871.34311116239</v>
      </c>
      <c r="O258" s="11">
        <f t="shared" si="45"/>
        <v>-252345.40900646799</v>
      </c>
    </row>
    <row r="259" spans="1:15">
      <c r="A259">
        <v>4</v>
      </c>
      <c r="B259" s="11">
        <f t="shared" si="44"/>
        <v>-166786.72010293114</v>
      </c>
      <c r="C259" s="11">
        <f t="shared" si="44"/>
        <v>-170588.32717073953</v>
      </c>
      <c r="D259" s="11">
        <f t="shared" si="44"/>
        <v>-198247.79640871342</v>
      </c>
      <c r="E259" s="11">
        <f t="shared" si="44"/>
        <v>-197628.24967253531</v>
      </c>
      <c r="F259" s="11">
        <f t="shared" si="44"/>
        <v>-218821.32190238181</v>
      </c>
      <c r="G259" s="11">
        <f t="shared" si="44"/>
        <v>-218923.73109666244</v>
      </c>
      <c r="H259" s="11">
        <f t="shared" si="44"/>
        <v>-219005.35043396559</v>
      </c>
      <c r="I259" s="11">
        <f t="shared" si="44"/>
        <v>-205091.78941188607</v>
      </c>
      <c r="J259" s="11">
        <f t="shared" si="44"/>
        <v>-260371.02025248378</v>
      </c>
      <c r="K259" s="11">
        <f t="shared" si="44"/>
        <v>-240429.57121035125</v>
      </c>
      <c r="L259" s="11">
        <f t="shared" si="45"/>
        <v>-242302.4205943225</v>
      </c>
      <c r="M259" s="11">
        <f t="shared" si="45"/>
        <v>-189089.35680527802</v>
      </c>
      <c r="N259" s="11">
        <f t="shared" si="45"/>
        <v>-207642.08069044893</v>
      </c>
      <c r="O259" s="11">
        <f t="shared" si="45"/>
        <v>-244995.54272472623</v>
      </c>
    </row>
    <row r="260" spans="1:15">
      <c r="A260">
        <v>5</v>
      </c>
      <c r="B260" s="11">
        <f t="shared" si="44"/>
        <v>-161928.8544688652</v>
      </c>
      <c r="C260" s="11">
        <f t="shared" si="44"/>
        <v>-165619.73511722285</v>
      </c>
      <c r="D260" s="11">
        <f t="shared" si="44"/>
        <v>-192473.58874632372</v>
      </c>
      <c r="E260" s="11">
        <f t="shared" si="44"/>
        <v>-191872.08706071391</v>
      </c>
      <c r="F260" s="11">
        <f t="shared" si="44"/>
        <v>-212447.88534211827</v>
      </c>
      <c r="G260" s="11">
        <f t="shared" si="44"/>
        <v>-212547.31174433246</v>
      </c>
      <c r="H260" s="11">
        <f t="shared" si="44"/>
        <v>-212626.55381938411</v>
      </c>
      <c r="I260" s="11">
        <f t="shared" si="44"/>
        <v>-199118.24214746224</v>
      </c>
      <c r="J260" s="11">
        <f t="shared" si="44"/>
        <v>-252787.39830338233</v>
      </c>
      <c r="K260" s="11">
        <f t="shared" si="44"/>
        <v>-233426.76816538957</v>
      </c>
      <c r="L260" s="11">
        <f t="shared" si="45"/>
        <v>-235245.06853817718</v>
      </c>
      <c r="M260" s="11">
        <f t="shared" si="45"/>
        <v>-183581.89981094954</v>
      </c>
      <c r="N260" s="11">
        <f t="shared" si="45"/>
        <v>-201594.25309752324</v>
      </c>
      <c r="O260" s="11">
        <f t="shared" si="45"/>
        <v>-237859.75021818082</v>
      </c>
    </row>
    <row r="261" spans="1:15">
      <c r="A261">
        <v>6</v>
      </c>
      <c r="B261" s="11">
        <f t="shared" si="44"/>
        <v>-157212.4800668594</v>
      </c>
      <c r="C261" s="11">
        <f t="shared" si="44"/>
        <v>-160795.85933710955</v>
      </c>
      <c r="D261" s="11">
        <f t="shared" si="44"/>
        <v>-186867.56188963467</v>
      </c>
      <c r="E261" s="11">
        <f t="shared" si="44"/>
        <v>-186283.57967059602</v>
      </c>
      <c r="F261" s="11">
        <f t="shared" si="44"/>
        <v>-206260.08285642552</v>
      </c>
      <c r="G261" s="11">
        <f t="shared" si="44"/>
        <v>-206356.61334401209</v>
      </c>
      <c r="H261" s="11">
        <f t="shared" si="44"/>
        <v>-206433.54739746026</v>
      </c>
      <c r="I261" s="11">
        <f t="shared" si="44"/>
        <v>-193318.68169656527</v>
      </c>
      <c r="J261" s="11">
        <f t="shared" si="44"/>
        <v>-245424.65854697311</v>
      </c>
      <c r="K261" s="11">
        <f t="shared" si="44"/>
        <v>-226627.93025765978</v>
      </c>
      <c r="L261" s="11">
        <f t="shared" si="45"/>
        <v>-228393.27042541472</v>
      </c>
      <c r="M261" s="11">
        <f t="shared" si="45"/>
        <v>-178234.8541853879</v>
      </c>
      <c r="N261" s="11">
        <f t="shared" si="45"/>
        <v>-195722.57582283809</v>
      </c>
      <c r="O261" s="11">
        <f t="shared" si="45"/>
        <v>-230931.79632833088</v>
      </c>
    </row>
    <row r="262" spans="1:15">
      <c r="A262">
        <v>7</v>
      </c>
      <c r="B262" s="11">
        <f t="shared" si="44"/>
        <v>-152633.47579306737</v>
      </c>
      <c r="C262" s="11">
        <f t="shared" si="44"/>
        <v>-156112.48479331023</v>
      </c>
      <c r="D262" s="11">
        <f t="shared" si="44"/>
        <v>-181424.81736857732</v>
      </c>
      <c r="E262" s="11">
        <f t="shared" si="44"/>
        <v>-180857.84434038447</v>
      </c>
      <c r="F262" s="11">
        <f t="shared" si="44"/>
        <v>-200252.50762759757</v>
      </c>
      <c r="G262" s="11">
        <f t="shared" si="44"/>
        <v>-200346.22654758455</v>
      </c>
      <c r="H262" s="11">
        <f t="shared" si="44"/>
        <v>-200420.91980335949</v>
      </c>
      <c r="I262" s="11">
        <f t="shared" si="44"/>
        <v>-187688.04048210219</v>
      </c>
      <c r="J262" s="11">
        <f t="shared" si="44"/>
        <v>-238276.3675213331</v>
      </c>
      <c r="K262" s="11">
        <f t="shared" si="44"/>
        <v>-220027.11675500948</v>
      </c>
      <c r="L262" s="11">
        <f t="shared" si="45"/>
        <v>-221741.03924797545</v>
      </c>
      <c r="M262" s="11">
        <f t="shared" si="45"/>
        <v>-173043.54775280377</v>
      </c>
      <c r="N262" s="11">
        <f t="shared" si="45"/>
        <v>-190021.91827460009</v>
      </c>
      <c r="O262" s="11">
        <f t="shared" si="45"/>
        <v>-224205.62750323385</v>
      </c>
    </row>
    <row r="263" spans="1:15">
      <c r="A263">
        <v>8</v>
      </c>
      <c r="B263" s="11">
        <f t="shared" si="44"/>
        <v>-148187.84057579358</v>
      </c>
      <c r="C263" s="11">
        <f t="shared" si="44"/>
        <v>-151565.51921680607</v>
      </c>
      <c r="D263" s="11">
        <f t="shared" si="44"/>
        <v>-176140.5993869683</v>
      </c>
      <c r="E263" s="11">
        <f t="shared" si="44"/>
        <v>-175590.14013629561</v>
      </c>
      <c r="F263" s="11">
        <f t="shared" si="44"/>
        <v>-194419.91031805592</v>
      </c>
      <c r="G263" s="11">
        <f t="shared" si="44"/>
        <v>-194510.89956076173</v>
      </c>
      <c r="H263" s="11">
        <f t="shared" si="44"/>
        <v>-194583.41728481505</v>
      </c>
      <c r="I263" s="11">
        <f t="shared" si="44"/>
        <v>-182221.39852631281</v>
      </c>
      <c r="J263" s="11">
        <f t="shared" si="44"/>
        <v>-231336.27914692537</v>
      </c>
      <c r="K263" s="11">
        <f t="shared" si="44"/>
        <v>-213618.55995631992</v>
      </c>
      <c r="L263" s="11">
        <f t="shared" si="45"/>
        <v>-215282.56237667523</v>
      </c>
      <c r="M263" s="11">
        <f t="shared" si="45"/>
        <v>-168003.44442019786</v>
      </c>
      <c r="N263" s="11">
        <f t="shared" si="45"/>
        <v>-184487.29929572824</v>
      </c>
      <c r="O263" s="11">
        <f t="shared" si="45"/>
        <v>-217675.36650799407</v>
      </c>
    </row>
    <row r="264" spans="1:15">
      <c r="A264">
        <v>9</v>
      </c>
      <c r="B264" s="11">
        <f t="shared" si="44"/>
        <v>-143871.68987941125</v>
      </c>
      <c r="C264" s="11">
        <f t="shared" si="44"/>
        <v>-147150.98953087968</v>
      </c>
      <c r="D264" s="11">
        <f t="shared" si="44"/>
        <v>-171010.29066695951</v>
      </c>
      <c r="E264" s="11">
        <f t="shared" si="44"/>
        <v>-170475.86420999575</v>
      </c>
      <c r="F264" s="11">
        <f t="shared" si="44"/>
        <v>-188757.19448354942</v>
      </c>
      <c r="G264" s="11">
        <f t="shared" si="44"/>
        <v>-188845.53355413757</v>
      </c>
      <c r="H264" s="11">
        <f t="shared" si="44"/>
        <v>-188915.93911147091</v>
      </c>
      <c r="I264" s="11">
        <f t="shared" si="44"/>
        <v>-176913.97915176002</v>
      </c>
      <c r="J264" s="11">
        <f t="shared" si="44"/>
        <v>-224598.32926885958</v>
      </c>
      <c r="K264" s="11">
        <f t="shared" si="44"/>
        <v>-207396.6601517669</v>
      </c>
      <c r="L264" s="11">
        <f t="shared" si="45"/>
        <v>-209012.19648220894</v>
      </c>
      <c r="M264" s="11">
        <f t="shared" si="45"/>
        <v>-163110.14021378433</v>
      </c>
      <c r="N264" s="11">
        <f t="shared" si="45"/>
        <v>-179113.88281138666</v>
      </c>
      <c r="O264" s="11">
        <f t="shared" si="45"/>
        <v>-211335.3072893146</v>
      </c>
    </row>
    <row r="265" spans="1:15">
      <c r="A265">
        <v>10</v>
      </c>
      <c r="B265" s="11">
        <f t="shared" si="44"/>
        <v>-139681.25231010802</v>
      </c>
      <c r="C265" s="11">
        <f t="shared" si="44"/>
        <v>-142865.03837949483</v>
      </c>
      <c r="D265" s="11">
        <f t="shared" si="44"/>
        <v>-166029.40841452379</v>
      </c>
      <c r="E265" s="11">
        <f t="shared" si="44"/>
        <v>-165510.5477766949</v>
      </c>
      <c r="F265" s="11">
        <f t="shared" si="44"/>
        <v>-183259.4121199509</v>
      </c>
      <c r="G265" s="11">
        <f t="shared" si="44"/>
        <v>-183345.17820790055</v>
      </c>
      <c r="H265" s="11">
        <f t="shared" si="44"/>
        <v>-183413.53311793294</v>
      </c>
      <c r="I265" s="11">
        <f t="shared" si="44"/>
        <v>-171761.144807534</v>
      </c>
      <c r="J265" s="11">
        <f t="shared" si="44"/>
        <v>-218056.63035811609</v>
      </c>
      <c r="K265" s="11">
        <f t="shared" si="44"/>
        <v>-201355.98072987076</v>
      </c>
      <c r="L265" s="11">
        <f t="shared" si="45"/>
        <v>-202924.46260408635</v>
      </c>
      <c r="M265" s="11">
        <f t="shared" si="45"/>
        <v>-158359.35943085857</v>
      </c>
      <c r="N265" s="11">
        <f t="shared" si="45"/>
        <v>-173896.973603288</v>
      </c>
      <c r="O265" s="11">
        <f t="shared" si="45"/>
        <v>-205179.90998962583</v>
      </c>
    </row>
    <row r="266" spans="1:15">
      <c r="A266">
        <v>11</v>
      </c>
      <c r="B266" s="11">
        <f t="shared" si="44"/>
        <v>-135612.86632049319</v>
      </c>
      <c r="C266" s="11">
        <f t="shared" si="44"/>
        <v>-138703.92075679108</v>
      </c>
      <c r="D266" s="11">
        <f t="shared" si="44"/>
        <v>-161193.60040245028</v>
      </c>
      <c r="E266" s="11">
        <f t="shared" si="44"/>
        <v>-160689.8522103834</v>
      </c>
      <c r="F266" s="11">
        <f t="shared" si="44"/>
        <v>-177921.75933975814</v>
      </c>
      <c r="G266" s="11">
        <f t="shared" si="44"/>
        <v>-178005.02738631121</v>
      </c>
      <c r="H266" s="11">
        <f t="shared" si="44"/>
        <v>-178071.3913766339</v>
      </c>
      <c r="I266" s="11">
        <f t="shared" si="44"/>
        <v>-166758.39301702328</v>
      </c>
      <c r="J266" s="11">
        <f t="shared" si="44"/>
        <v>-211705.46636710301</v>
      </c>
      <c r="K266" s="11">
        <f t="shared" si="44"/>
        <v>-195491.243427059</v>
      </c>
      <c r="L266" s="11">
        <f t="shared" si="45"/>
        <v>-197014.04136319063</v>
      </c>
      <c r="M266" s="11">
        <f t="shared" si="45"/>
        <v>-153746.95090374618</v>
      </c>
      <c r="N266" s="11">
        <f t="shared" si="45"/>
        <v>-168832.01320707574</v>
      </c>
      <c r="O266" s="11">
        <f t="shared" si="45"/>
        <v>-199203.79610643286</v>
      </c>
    </row>
    <row r="267" spans="1:15">
      <c r="A267">
        <v>12</v>
      </c>
      <c r="B267" s="11">
        <f t="shared" ref="B267:K275" si="46">B$256/((1+$B$173)^$A267)</f>
        <v>-131662.97701018761</v>
      </c>
      <c r="C267" s="11">
        <f t="shared" si="46"/>
        <v>-134664.00073474864</v>
      </c>
      <c r="D267" s="11">
        <f t="shared" si="46"/>
        <v>-156498.64116742747</v>
      </c>
      <c r="E267" s="11">
        <f t="shared" si="46"/>
        <v>-156009.56525279942</v>
      </c>
      <c r="F267" s="11">
        <f t="shared" si="46"/>
        <v>-172739.5721745225</v>
      </c>
      <c r="G267" s="11">
        <f t="shared" si="46"/>
        <v>-172820.41493816624</v>
      </c>
      <c r="H267" s="11">
        <f t="shared" si="46"/>
        <v>-172884.84599673198</v>
      </c>
      <c r="I267" s="11">
        <f t="shared" si="46"/>
        <v>-161901.35244371195</v>
      </c>
      <c r="J267" s="11">
        <f t="shared" si="46"/>
        <v>-205539.2877350515</v>
      </c>
      <c r="K267" s="11">
        <f t="shared" si="46"/>
        <v>-189797.32371559128</v>
      </c>
      <c r="L267" s="11">
        <f t="shared" ref="L267:O275" si="47">L$256/((1+$B$173)^$A267)</f>
        <v>-191275.76831377734</v>
      </c>
      <c r="M267" s="11">
        <f t="shared" si="47"/>
        <v>-149268.88437256913</v>
      </c>
      <c r="N267" s="11">
        <f t="shared" si="47"/>
        <v>-163914.57592919975</v>
      </c>
      <c r="O267" s="11">
        <f t="shared" si="47"/>
        <v>-193401.74379265329</v>
      </c>
    </row>
    <row r="268" spans="1:15">
      <c r="A268">
        <v>13</v>
      </c>
      <c r="B268" s="11">
        <f t="shared" si="46"/>
        <v>-127828.13301959961</v>
      </c>
      <c r="C268" s="11">
        <f t="shared" si="46"/>
        <v>-130741.74828616374</v>
      </c>
      <c r="D268" s="11">
        <f t="shared" si="46"/>
        <v>-151940.42831789076</v>
      </c>
      <c r="E268" s="11">
        <f t="shared" si="46"/>
        <v>-151465.597332815</v>
      </c>
      <c r="F268" s="11">
        <f t="shared" si="46"/>
        <v>-167708.32249953641</v>
      </c>
      <c r="G268" s="11">
        <f t="shared" si="46"/>
        <v>-167786.8106195789</v>
      </c>
      <c r="H268" s="11">
        <f t="shared" si="46"/>
        <v>-167849.36504537085</v>
      </c>
      <c r="I268" s="11">
        <f t="shared" si="46"/>
        <v>-157185.77907156502</v>
      </c>
      <c r="J268" s="11">
        <f t="shared" si="46"/>
        <v>-199552.70653888496</v>
      </c>
      <c r="K268" s="11">
        <f t="shared" si="46"/>
        <v>-184269.24632581678</v>
      </c>
      <c r="L268" s="11">
        <f t="shared" si="47"/>
        <v>-185704.62943085178</v>
      </c>
      <c r="M268" s="11">
        <f t="shared" si="47"/>
        <v>-144921.24696365936</v>
      </c>
      <c r="N268" s="11">
        <f t="shared" si="47"/>
        <v>-159140.3649798056</v>
      </c>
      <c r="O268" s="11">
        <f t="shared" si="47"/>
        <v>-187768.68329383814</v>
      </c>
    </row>
    <row r="269" spans="1:15">
      <c r="A269">
        <v>14</v>
      </c>
      <c r="B269" s="11">
        <f t="shared" si="46"/>
        <v>-124104.98351417437</v>
      </c>
      <c r="C269" s="11">
        <f t="shared" si="46"/>
        <v>-126933.73620015896</v>
      </c>
      <c r="D269" s="11">
        <f t="shared" si="46"/>
        <v>-147514.97894940848</v>
      </c>
      <c r="E269" s="11">
        <f t="shared" si="46"/>
        <v>-147053.97799302425</v>
      </c>
      <c r="F269" s="11">
        <f t="shared" si="46"/>
        <v>-162823.6140772198</v>
      </c>
      <c r="G269" s="11">
        <f t="shared" si="46"/>
        <v>-162899.81613551348</v>
      </c>
      <c r="H269" s="11">
        <f t="shared" si="46"/>
        <v>-162960.54858773868</v>
      </c>
      <c r="I269" s="11">
        <f t="shared" si="46"/>
        <v>-152607.55249666504</v>
      </c>
      <c r="J269" s="11">
        <f t="shared" si="46"/>
        <v>-193740.49178532517</v>
      </c>
      <c r="K269" s="11">
        <f t="shared" si="46"/>
        <v>-178902.18089885122</v>
      </c>
      <c r="L269" s="11">
        <f t="shared" si="47"/>
        <v>-180295.75672898229</v>
      </c>
      <c r="M269" s="11">
        <f t="shared" si="47"/>
        <v>-140700.23977054306</v>
      </c>
      <c r="N269" s="11">
        <f t="shared" si="47"/>
        <v>-154505.20871825784</v>
      </c>
      <c r="O269" s="11">
        <f t="shared" si="47"/>
        <v>-182299.69251828943</v>
      </c>
    </row>
    <row r="270" spans="1:15">
      <c r="A270">
        <v>15</v>
      </c>
      <c r="B270" s="11">
        <f t="shared" si="46"/>
        <v>-120490.27525647996</v>
      </c>
      <c r="C270" s="11">
        <f t="shared" si="46"/>
        <v>-123236.63708753296</v>
      </c>
      <c r="D270" s="11">
        <f t="shared" si="46"/>
        <v>-143218.42616447425</v>
      </c>
      <c r="E270" s="11">
        <f t="shared" si="46"/>
        <v>-142770.85242041189</v>
      </c>
      <c r="F270" s="11">
        <f t="shared" si="46"/>
        <v>-158081.17871574737</v>
      </c>
      <c r="G270" s="11">
        <f t="shared" si="46"/>
        <v>-158155.16129661503</v>
      </c>
      <c r="H270" s="11">
        <f t="shared" si="46"/>
        <v>-158214.12484246472</v>
      </c>
      <c r="I270" s="11">
        <f t="shared" si="46"/>
        <v>-148162.67232685926</v>
      </c>
      <c r="J270" s="11">
        <f t="shared" si="46"/>
        <v>-188097.56484012151</v>
      </c>
      <c r="K270" s="11">
        <f t="shared" si="46"/>
        <v>-173691.43776587499</v>
      </c>
      <c r="L270" s="11">
        <f t="shared" si="47"/>
        <v>-175044.42400872067</v>
      </c>
      <c r="M270" s="11">
        <f t="shared" si="47"/>
        <v>-136602.17453450779</v>
      </c>
      <c r="N270" s="11">
        <f t="shared" si="47"/>
        <v>-150005.05700801732</v>
      </c>
      <c r="O270" s="11">
        <f t="shared" si="47"/>
        <v>-176989.99273620333</v>
      </c>
    </row>
    <row r="271" spans="1:15">
      <c r="A271">
        <v>16</v>
      </c>
      <c r="B271" s="11">
        <f t="shared" si="46"/>
        <v>-116980.8497635728</v>
      </c>
      <c r="C271" s="11">
        <f t="shared" si="46"/>
        <v>-119647.220473333</v>
      </c>
      <c r="D271" s="11">
        <f t="shared" si="46"/>
        <v>-139047.01569366435</v>
      </c>
      <c r="E271" s="11">
        <f t="shared" si="46"/>
        <v>-138612.47807806981</v>
      </c>
      <c r="F271" s="11">
        <f t="shared" si="46"/>
        <v>-153476.87253956057</v>
      </c>
      <c r="G271" s="11">
        <f t="shared" si="46"/>
        <v>-153548.70028797578</v>
      </c>
      <c r="H271" s="11">
        <f t="shared" si="46"/>
        <v>-153605.94644899492</v>
      </c>
      <c r="I271" s="11">
        <f t="shared" si="46"/>
        <v>-143847.25468627116</v>
      </c>
      <c r="J271" s="11">
        <f t="shared" si="46"/>
        <v>-182618.99499040926</v>
      </c>
      <c r="K271" s="11">
        <f t="shared" si="46"/>
        <v>-168632.46385036409</v>
      </c>
      <c r="L271" s="11">
        <f t="shared" si="47"/>
        <v>-169946.04272691329</v>
      </c>
      <c r="M271" s="11">
        <f t="shared" si="47"/>
        <v>-132623.47042185225</v>
      </c>
      <c r="N271" s="11">
        <f t="shared" si="47"/>
        <v>-145635.97767768675</v>
      </c>
      <c r="O271" s="11">
        <f t="shared" si="47"/>
        <v>-171834.94440408092</v>
      </c>
    </row>
    <row r="272" spans="1:15">
      <c r="A272">
        <v>17</v>
      </c>
      <c r="B272" s="11">
        <f t="shared" si="46"/>
        <v>-113573.64054715807</v>
      </c>
      <c r="C272" s="11">
        <f t="shared" si="46"/>
        <v>-116162.3499741097</v>
      </c>
      <c r="D272" s="11">
        <f t="shared" si="46"/>
        <v>-134997.1026152081</v>
      </c>
      <c r="E272" s="11">
        <f t="shared" si="46"/>
        <v>-134575.22143501922</v>
      </c>
      <c r="F272" s="11">
        <f t="shared" si="46"/>
        <v>-149006.67236850542</v>
      </c>
      <c r="G272" s="11">
        <f t="shared" si="46"/>
        <v>-149076.40804657841</v>
      </c>
      <c r="H272" s="11">
        <f t="shared" si="46"/>
        <v>-149131.98684368437</v>
      </c>
      <c r="I272" s="11">
        <f t="shared" si="46"/>
        <v>-139657.52882162249</v>
      </c>
      <c r="J272" s="11">
        <f t="shared" si="46"/>
        <v>-177299.99513631969</v>
      </c>
      <c r="K272" s="11">
        <f t="shared" si="46"/>
        <v>-163720.83868967387</v>
      </c>
      <c r="L272" s="11">
        <f t="shared" si="47"/>
        <v>-164996.15798729446</v>
      </c>
      <c r="M272" s="11">
        <f t="shared" si="47"/>
        <v>-128760.6508950022</v>
      </c>
      <c r="N272" s="11">
        <f t="shared" si="47"/>
        <v>-141394.15308513277</v>
      </c>
      <c r="O272" s="11">
        <f t="shared" si="47"/>
        <v>-166830.04311075818</v>
      </c>
    </row>
    <row r="273" spans="1:15">
      <c r="A273">
        <v>18</v>
      </c>
      <c r="B273" s="11">
        <f t="shared" si="46"/>
        <v>-110265.67043413404</v>
      </c>
      <c r="C273" s="11">
        <f t="shared" si="46"/>
        <v>-112778.98055738806</v>
      </c>
      <c r="D273" s="11">
        <f t="shared" si="46"/>
        <v>-131065.14817010496</v>
      </c>
      <c r="E273" s="11">
        <f t="shared" si="46"/>
        <v>-130655.55479128081</v>
      </c>
      <c r="F273" s="11">
        <f t="shared" si="46"/>
        <v>-144666.67220243244</v>
      </c>
      <c r="G273" s="11">
        <f t="shared" si="46"/>
        <v>-144734.37674425088</v>
      </c>
      <c r="H273" s="11">
        <f t="shared" si="46"/>
        <v>-144788.33674144113</v>
      </c>
      <c r="I273" s="11">
        <f t="shared" si="46"/>
        <v>-135589.83380740046</v>
      </c>
      <c r="J273" s="11">
        <f t="shared" si="46"/>
        <v>-172135.91760807735</v>
      </c>
      <c r="K273" s="11">
        <f t="shared" si="46"/>
        <v>-158952.27057249891</v>
      </c>
      <c r="L273" s="11">
        <f t="shared" si="47"/>
        <v>-160190.44464785871</v>
      </c>
      <c r="M273" s="11">
        <f t="shared" si="47"/>
        <v>-125010.34067475941</v>
      </c>
      <c r="N273" s="11">
        <f t="shared" si="47"/>
        <v>-137275.87678168228</v>
      </c>
      <c r="O273" s="11">
        <f t="shared" si="47"/>
        <v>-161970.91564151281</v>
      </c>
    </row>
    <row r="274" spans="1:15">
      <c r="A274">
        <v>19</v>
      </c>
      <c r="B274" s="11">
        <f t="shared" si="46"/>
        <v>-107054.04896517868</v>
      </c>
      <c r="C274" s="11">
        <f t="shared" si="46"/>
        <v>-109494.15588095928</v>
      </c>
      <c r="D274" s="11">
        <f t="shared" si="46"/>
        <v>-127247.71667000481</v>
      </c>
      <c r="E274" s="11">
        <f t="shared" si="46"/>
        <v>-126850.05319541827</v>
      </c>
      <c r="F274" s="11">
        <f t="shared" si="46"/>
        <v>-140453.07980818686</v>
      </c>
      <c r="G274" s="11">
        <f t="shared" si="46"/>
        <v>-140518.81237305913</v>
      </c>
      <c r="H274" s="11">
        <f t="shared" si="46"/>
        <v>-140571.20071984577</v>
      </c>
      <c r="I274" s="11">
        <f t="shared" si="46"/>
        <v>-131640.61534699073</v>
      </c>
      <c r="J274" s="11">
        <f t="shared" si="46"/>
        <v>-167122.2501049295</v>
      </c>
      <c r="K274" s="11">
        <f t="shared" si="46"/>
        <v>-154322.59278883389</v>
      </c>
      <c r="L274" s="11">
        <f t="shared" si="47"/>
        <v>-155524.70354161039</v>
      </c>
      <c r="M274" s="11">
        <f t="shared" si="47"/>
        <v>-121369.26279102857</v>
      </c>
      <c r="N274" s="11">
        <f t="shared" si="47"/>
        <v>-133277.55027347794</v>
      </c>
      <c r="O274" s="11">
        <f t="shared" si="47"/>
        <v>-157253.31615680855</v>
      </c>
    </row>
    <row r="275" spans="1:15">
      <c r="A275">
        <v>20</v>
      </c>
      <c r="B275" s="11">
        <f t="shared" si="46"/>
        <v>-103935.96986910552</v>
      </c>
      <c r="C275" s="11">
        <f t="shared" si="46"/>
        <v>-106305.00570966922</v>
      </c>
      <c r="D275" s="11">
        <f t="shared" si="46"/>
        <v>-123541.47249515032</v>
      </c>
      <c r="E275" s="11">
        <f t="shared" si="46"/>
        <v>-123155.39145186239</v>
      </c>
      <c r="F275" s="11">
        <f t="shared" si="46"/>
        <v>-136362.21340600666</v>
      </c>
      <c r="G275" s="11">
        <f t="shared" si="46"/>
        <v>-136426.03143015449</v>
      </c>
      <c r="H275" s="11">
        <f t="shared" si="46"/>
        <v>-136476.89390276288</v>
      </c>
      <c r="I275" s="11">
        <f t="shared" si="46"/>
        <v>-127806.42266698131</v>
      </c>
      <c r="J275" s="11">
        <f t="shared" si="46"/>
        <v>-162254.61175235873</v>
      </c>
      <c r="K275" s="11">
        <f t="shared" si="46"/>
        <v>-149827.75998915912</v>
      </c>
      <c r="L275" s="11">
        <f t="shared" si="47"/>
        <v>-150994.85780738873</v>
      </c>
      <c r="M275" s="11">
        <f t="shared" si="47"/>
        <v>-117834.23571944521</v>
      </c>
      <c r="N275" s="11">
        <f t="shared" si="47"/>
        <v>-129395.67987716307</v>
      </c>
      <c r="O275" s="11">
        <f t="shared" si="47"/>
        <v>-152673.1224823384</v>
      </c>
    </row>
    <row r="276" spans="1:15">
      <c r="B276" s="11"/>
      <c r="C276" s="11"/>
      <c r="D276" s="11"/>
      <c r="E276" s="11"/>
      <c r="F276" s="11"/>
      <c r="G276" s="11"/>
      <c r="H276" s="11"/>
      <c r="I276" s="11"/>
      <c r="J276" s="11"/>
      <c r="K276" s="11"/>
      <c r="L276" s="11"/>
      <c r="M276" s="11"/>
      <c r="N276" s="11"/>
      <c r="O276" s="11"/>
    </row>
    <row r="277" spans="1:15">
      <c r="A277" t="s">
        <v>282</v>
      </c>
      <c r="B277" s="11">
        <f t="shared" ref="B277:O277" si="48">SUM(B256:B275)+B234</f>
        <v>-2798266.0038271919</v>
      </c>
      <c r="C277" s="11">
        <f t="shared" si="48"/>
        <v>-2862047.5076015461</v>
      </c>
      <c r="D277" s="11">
        <f t="shared" si="48"/>
        <v>-3326104.5524595566</v>
      </c>
      <c r="E277" s="11">
        <f t="shared" si="48"/>
        <v>-3315710.1003799229</v>
      </c>
      <c r="F277" s="11">
        <f t="shared" si="48"/>
        <v>-3671277.099364223</v>
      </c>
      <c r="G277" s="11">
        <f t="shared" si="48"/>
        <v>-3672995.2707309704</v>
      </c>
      <c r="H277" s="11">
        <f t="shared" si="48"/>
        <v>-3674364.6400470012</v>
      </c>
      <c r="I277" s="11">
        <f t="shared" si="48"/>
        <v>-3440929.719231768</v>
      </c>
      <c r="J277" s="11">
        <f t="shared" si="48"/>
        <v>-4368377.6136654317</v>
      </c>
      <c r="K277" s="11">
        <f t="shared" si="48"/>
        <v>-4033809.7362755872</v>
      </c>
      <c r="L277" s="11">
        <f t="shared" si="48"/>
        <v>-4106389.7471093521</v>
      </c>
      <c r="M277" s="11">
        <f t="shared" si="48"/>
        <v>-3213606.9927721028</v>
      </c>
      <c r="N277" s="11">
        <f t="shared" si="48"/>
        <v>-3524875.5187928029</v>
      </c>
      <c r="O277" s="11">
        <f t="shared" si="48"/>
        <v>-4151573.632834862</v>
      </c>
    </row>
    <row r="279" spans="1:15">
      <c r="A279" t="s">
        <v>101</v>
      </c>
    </row>
    <row r="280" spans="1:15">
      <c r="A280" t="s">
        <v>100</v>
      </c>
    </row>
    <row r="281" spans="1:15">
      <c r="A281">
        <v>1</v>
      </c>
      <c r="B281" s="11">
        <f t="shared" ref="B281:O281" si="49">-$B$177*B242</f>
        <v>-838350.68799999997</v>
      </c>
      <c r="C281" s="11">
        <f t="shared" si="49"/>
        <v>-837723.17999999993</v>
      </c>
      <c r="D281" s="11">
        <f t="shared" si="49"/>
        <v>-753637.10800000012</v>
      </c>
      <c r="E281" s="11">
        <f t="shared" si="49"/>
        <v>-753009.60000000009</v>
      </c>
      <c r="F281" s="11">
        <f t="shared" si="49"/>
        <v>-717869.152</v>
      </c>
      <c r="G281" s="11">
        <f t="shared" si="49"/>
        <v>-717869.152</v>
      </c>
      <c r="H281" s="11">
        <f t="shared" si="49"/>
        <v>-717869.152</v>
      </c>
      <c r="I281" s="11">
        <f t="shared" si="49"/>
        <v>-596760.10800000012</v>
      </c>
      <c r="J281" s="11">
        <f t="shared" si="49"/>
        <v>-674571.10000000009</v>
      </c>
      <c r="K281" s="11">
        <f t="shared" si="49"/>
        <v>-560992.152</v>
      </c>
      <c r="L281" s="11">
        <f t="shared" si="49"/>
        <v>-458080.83999999997</v>
      </c>
      <c r="M281" s="11">
        <f t="shared" si="49"/>
        <v>-247865.66000000006</v>
      </c>
      <c r="N281" s="11">
        <f t="shared" si="49"/>
        <v>-240963.07200000004</v>
      </c>
      <c r="O281" s="11">
        <f t="shared" si="49"/>
        <v>-224647.864</v>
      </c>
    </row>
    <row r="282" spans="1:15">
      <c r="A282">
        <v>2</v>
      </c>
      <c r="B282" s="11">
        <f t="shared" ref="B282:K291" si="50">B$281/((1+$B$173)^$A282)</f>
        <v>-790225.92892826849</v>
      </c>
      <c r="C282" s="11">
        <f t="shared" si="50"/>
        <v>-789634.44245451968</v>
      </c>
      <c r="D282" s="11">
        <f t="shared" si="50"/>
        <v>-710375.25497219362</v>
      </c>
      <c r="E282" s="11">
        <f t="shared" si="50"/>
        <v>-709783.76849844481</v>
      </c>
      <c r="F282" s="11">
        <f t="shared" si="50"/>
        <v>-676660.52596851729</v>
      </c>
      <c r="G282" s="11">
        <f t="shared" si="50"/>
        <v>-676660.52596851729</v>
      </c>
      <c r="H282" s="11">
        <f t="shared" si="50"/>
        <v>-676660.52596851729</v>
      </c>
      <c r="I282" s="11">
        <f t="shared" si="50"/>
        <v>-562503.63653501763</v>
      </c>
      <c r="J282" s="11">
        <f t="shared" si="50"/>
        <v>-635847.95927985688</v>
      </c>
      <c r="K282" s="11">
        <f t="shared" si="50"/>
        <v>-528788.90753134131</v>
      </c>
      <c r="L282" s="11">
        <f t="shared" ref="L282:O291" si="51">L$281/((1+$B$173)^$A282)</f>
        <v>-431785.12583655387</v>
      </c>
      <c r="M282" s="11">
        <f t="shared" si="51"/>
        <v>-233637.15713073811</v>
      </c>
      <c r="N282" s="11">
        <f t="shared" si="51"/>
        <v>-227130.80591950237</v>
      </c>
      <c r="O282" s="11">
        <f t="shared" si="51"/>
        <v>-211752.15760203602</v>
      </c>
    </row>
    <row r="283" spans="1:15">
      <c r="A283">
        <v>3</v>
      </c>
      <c r="B283" s="11">
        <f t="shared" si="50"/>
        <v>-767209.63973618287</v>
      </c>
      <c r="C283" s="11">
        <f t="shared" si="50"/>
        <v>-766635.38102380547</v>
      </c>
      <c r="D283" s="11">
        <f t="shared" si="50"/>
        <v>-689684.71356523642</v>
      </c>
      <c r="E283" s="11">
        <f t="shared" si="50"/>
        <v>-689110.45485285902</v>
      </c>
      <c r="F283" s="11">
        <f t="shared" si="50"/>
        <v>-656951.96695972548</v>
      </c>
      <c r="G283" s="11">
        <f t="shared" si="50"/>
        <v>-656951.96695972548</v>
      </c>
      <c r="H283" s="11">
        <f t="shared" si="50"/>
        <v>-656951.96695972548</v>
      </c>
      <c r="I283" s="11">
        <f t="shared" si="50"/>
        <v>-546120.03547089081</v>
      </c>
      <c r="J283" s="11">
        <f t="shared" si="50"/>
        <v>-617328.11580568622</v>
      </c>
      <c r="K283" s="11">
        <f t="shared" si="50"/>
        <v>-513387.28886537993</v>
      </c>
      <c r="L283" s="11">
        <f t="shared" si="51"/>
        <v>-419208.86003548914</v>
      </c>
      <c r="M283" s="11">
        <f t="shared" si="51"/>
        <v>-226832.19138906614</v>
      </c>
      <c r="N283" s="11">
        <f t="shared" si="51"/>
        <v>-220515.34555291489</v>
      </c>
      <c r="O283" s="11">
        <f t="shared" si="51"/>
        <v>-205584.61903110292</v>
      </c>
    </row>
    <row r="284" spans="1:15">
      <c r="A284">
        <v>4</v>
      </c>
      <c r="B284" s="11">
        <f t="shared" si="50"/>
        <v>-744863.7278992068</v>
      </c>
      <c r="C284" s="11">
        <f t="shared" si="50"/>
        <v>-744306.19516874326</v>
      </c>
      <c r="D284" s="11">
        <f t="shared" si="50"/>
        <v>-669596.80928663735</v>
      </c>
      <c r="E284" s="11">
        <f t="shared" si="50"/>
        <v>-669039.27655617392</v>
      </c>
      <c r="F284" s="11">
        <f t="shared" si="50"/>
        <v>-637817.44365021901</v>
      </c>
      <c r="G284" s="11">
        <f t="shared" si="50"/>
        <v>-637817.44365021901</v>
      </c>
      <c r="H284" s="11">
        <f t="shared" si="50"/>
        <v>-637817.44365021901</v>
      </c>
      <c r="I284" s="11">
        <f t="shared" si="50"/>
        <v>-530213.62667076779</v>
      </c>
      <c r="J284" s="11">
        <f t="shared" si="50"/>
        <v>-599347.68524823908</v>
      </c>
      <c r="K284" s="11">
        <f t="shared" si="50"/>
        <v>-498434.26103434945</v>
      </c>
      <c r="L284" s="11">
        <f t="shared" si="51"/>
        <v>-406998.89323833905</v>
      </c>
      <c r="M284" s="11">
        <f t="shared" si="51"/>
        <v>-220225.42853307392</v>
      </c>
      <c r="N284" s="11">
        <f t="shared" si="51"/>
        <v>-214092.56849797565</v>
      </c>
      <c r="O284" s="11">
        <f t="shared" si="51"/>
        <v>-199596.71750592519</v>
      </c>
    </row>
    <row r="285" spans="1:15">
      <c r="A285">
        <v>5</v>
      </c>
      <c r="B285" s="11">
        <f t="shared" si="50"/>
        <v>-723168.66786330764</v>
      </c>
      <c r="C285" s="11">
        <f t="shared" si="50"/>
        <v>-722627.37395023624</v>
      </c>
      <c r="D285" s="11">
        <f t="shared" si="50"/>
        <v>-650093.98959867714</v>
      </c>
      <c r="E285" s="11">
        <f t="shared" si="50"/>
        <v>-649552.69568560575</v>
      </c>
      <c r="F285" s="11">
        <f t="shared" si="50"/>
        <v>-619240.23655361077</v>
      </c>
      <c r="G285" s="11">
        <f t="shared" si="50"/>
        <v>-619240.23655361077</v>
      </c>
      <c r="H285" s="11">
        <f t="shared" si="50"/>
        <v>-619240.23655361077</v>
      </c>
      <c r="I285" s="11">
        <f t="shared" si="50"/>
        <v>-514770.51133084256</v>
      </c>
      <c r="J285" s="11">
        <f t="shared" si="50"/>
        <v>-581890.95655168849</v>
      </c>
      <c r="K285" s="11">
        <f t="shared" si="50"/>
        <v>-483916.75828577619</v>
      </c>
      <c r="L285" s="11">
        <f t="shared" si="51"/>
        <v>-395144.55654207675</v>
      </c>
      <c r="M285" s="11">
        <f t="shared" si="51"/>
        <v>-213811.0956631786</v>
      </c>
      <c r="N285" s="11">
        <f t="shared" si="51"/>
        <v>-207856.86261939385</v>
      </c>
      <c r="O285" s="11">
        <f t="shared" si="51"/>
        <v>-193783.22087953903</v>
      </c>
    </row>
    <row r="286" spans="1:15">
      <c r="A286">
        <v>6</v>
      </c>
      <c r="B286" s="11">
        <f t="shared" si="50"/>
        <v>-702105.50277991022</v>
      </c>
      <c r="C286" s="11">
        <f t="shared" si="50"/>
        <v>-701579.97470896714</v>
      </c>
      <c r="D286" s="11">
        <f t="shared" si="50"/>
        <v>-631159.21320259909</v>
      </c>
      <c r="E286" s="11">
        <f t="shared" si="50"/>
        <v>-630633.68513165601</v>
      </c>
      <c r="F286" s="11">
        <f t="shared" si="50"/>
        <v>-601204.11315884534</v>
      </c>
      <c r="G286" s="11">
        <f t="shared" si="50"/>
        <v>-601204.11315884534</v>
      </c>
      <c r="H286" s="11">
        <f t="shared" si="50"/>
        <v>-601204.11315884534</v>
      </c>
      <c r="I286" s="11">
        <f t="shared" si="50"/>
        <v>-499777.19546683744</v>
      </c>
      <c r="J286" s="11">
        <f t="shared" si="50"/>
        <v>-564942.67626377521</v>
      </c>
      <c r="K286" s="11">
        <f t="shared" si="50"/>
        <v>-469822.09542308369</v>
      </c>
      <c r="L286" s="11">
        <f t="shared" si="51"/>
        <v>-383635.49178842403</v>
      </c>
      <c r="M286" s="11">
        <f t="shared" si="51"/>
        <v>-207583.58802250348</v>
      </c>
      <c r="N286" s="11">
        <f t="shared" si="51"/>
        <v>-201802.77924212994</v>
      </c>
      <c r="O286" s="11">
        <f t="shared" si="51"/>
        <v>-188139.04939761068</v>
      </c>
    </row>
    <row r="287" spans="1:15">
      <c r="A287">
        <v>7</v>
      </c>
      <c r="B287" s="11">
        <f t="shared" si="50"/>
        <v>-681655.82794166042</v>
      </c>
      <c r="C287" s="11">
        <f t="shared" si="50"/>
        <v>-681145.60651356028</v>
      </c>
      <c r="D287" s="11">
        <f t="shared" si="50"/>
        <v>-612775.93514815439</v>
      </c>
      <c r="E287" s="11">
        <f t="shared" si="50"/>
        <v>-612265.71372005437</v>
      </c>
      <c r="F287" s="11">
        <f t="shared" si="50"/>
        <v>-583693.31374645175</v>
      </c>
      <c r="G287" s="11">
        <f t="shared" si="50"/>
        <v>-583693.31374645175</v>
      </c>
      <c r="H287" s="11">
        <f t="shared" si="50"/>
        <v>-583693.31374645175</v>
      </c>
      <c r="I287" s="11">
        <f t="shared" si="50"/>
        <v>-485220.57812314312</v>
      </c>
      <c r="J287" s="11">
        <f t="shared" si="50"/>
        <v>-548488.03520754864</v>
      </c>
      <c r="K287" s="11">
        <f t="shared" si="50"/>
        <v>-456137.95672144042</v>
      </c>
      <c r="L287" s="11">
        <f t="shared" si="51"/>
        <v>-372461.642513033</v>
      </c>
      <c r="M287" s="11">
        <f t="shared" si="51"/>
        <v>-201537.46409951791</v>
      </c>
      <c r="N287" s="11">
        <f t="shared" si="51"/>
        <v>-195925.0283904174</v>
      </c>
      <c r="O287" s="11">
        <f t="shared" si="51"/>
        <v>-182659.27125981619</v>
      </c>
    </row>
    <row r="288" spans="1:15">
      <c r="A288">
        <v>8</v>
      </c>
      <c r="B288" s="11">
        <f t="shared" si="50"/>
        <v>-661801.77470064128</v>
      </c>
      <c r="C288" s="11">
        <f t="shared" si="50"/>
        <v>-661306.41409083537</v>
      </c>
      <c r="D288" s="11">
        <f t="shared" si="50"/>
        <v>-594928.09237684903</v>
      </c>
      <c r="E288" s="11">
        <f t="shared" si="50"/>
        <v>-594432.73176704312</v>
      </c>
      <c r="F288" s="11">
        <f t="shared" si="50"/>
        <v>-566692.53761791438</v>
      </c>
      <c r="G288" s="11">
        <f t="shared" si="50"/>
        <v>-566692.53761791438</v>
      </c>
      <c r="H288" s="11">
        <f t="shared" si="50"/>
        <v>-566692.53761791438</v>
      </c>
      <c r="I288" s="11">
        <f t="shared" si="50"/>
        <v>-471087.93992538174</v>
      </c>
      <c r="J288" s="11">
        <f t="shared" si="50"/>
        <v>-532512.6555413095</v>
      </c>
      <c r="K288" s="11">
        <f t="shared" si="50"/>
        <v>-442852.38516644709</v>
      </c>
      <c r="L288" s="11">
        <f t="shared" si="51"/>
        <v>-361613.2451582845</v>
      </c>
      <c r="M288" s="11">
        <f t="shared" si="51"/>
        <v>-195667.44087331838</v>
      </c>
      <c r="N288" s="11">
        <f t="shared" si="51"/>
        <v>-190218.47416545381</v>
      </c>
      <c r="O288" s="11">
        <f t="shared" si="51"/>
        <v>-177339.09831050117</v>
      </c>
    </row>
    <row r="289" spans="1:15">
      <c r="A289">
        <v>9</v>
      </c>
      <c r="B289" s="11">
        <f t="shared" si="50"/>
        <v>-642525.99485499144</v>
      </c>
      <c r="C289" s="11">
        <f t="shared" si="50"/>
        <v>-642045.06222411199</v>
      </c>
      <c r="D289" s="11">
        <f t="shared" si="50"/>
        <v>-577600.08968626114</v>
      </c>
      <c r="E289" s="11">
        <f t="shared" si="50"/>
        <v>-577119.15705538169</v>
      </c>
      <c r="F289" s="11">
        <f t="shared" si="50"/>
        <v>-550186.92972613045</v>
      </c>
      <c r="G289" s="11">
        <f t="shared" si="50"/>
        <v>-550186.92972613045</v>
      </c>
      <c r="H289" s="11">
        <f t="shared" si="50"/>
        <v>-550186.92972613045</v>
      </c>
      <c r="I289" s="11">
        <f t="shared" si="50"/>
        <v>-457366.93196639</v>
      </c>
      <c r="J289" s="11">
        <f t="shared" si="50"/>
        <v>-517002.57819544605</v>
      </c>
      <c r="K289" s="11">
        <f t="shared" si="50"/>
        <v>-429953.7720062593</v>
      </c>
      <c r="L289" s="11">
        <f t="shared" si="51"/>
        <v>-351080.82054202375</v>
      </c>
      <c r="M289" s="11">
        <f t="shared" si="51"/>
        <v>-189968.38919739649</v>
      </c>
      <c r="N289" s="11">
        <f t="shared" si="51"/>
        <v>-184678.13025772214</v>
      </c>
      <c r="O289" s="11">
        <f t="shared" si="51"/>
        <v>-172173.88185485551</v>
      </c>
    </row>
    <row r="290" spans="1:15">
      <c r="A290">
        <v>10</v>
      </c>
      <c r="B290" s="11">
        <f t="shared" si="50"/>
        <v>-623811.64549028303</v>
      </c>
      <c r="C290" s="11">
        <f t="shared" si="50"/>
        <v>-623344.72060593392</v>
      </c>
      <c r="D290" s="11">
        <f t="shared" si="50"/>
        <v>-560776.78610316617</v>
      </c>
      <c r="E290" s="11">
        <f t="shared" si="50"/>
        <v>-560309.86121881718</v>
      </c>
      <c r="F290" s="11">
        <f t="shared" si="50"/>
        <v>-534162.06769527227</v>
      </c>
      <c r="G290" s="11">
        <f t="shared" si="50"/>
        <v>-534162.06769527227</v>
      </c>
      <c r="H290" s="11">
        <f t="shared" si="50"/>
        <v>-534162.06769527227</v>
      </c>
      <c r="I290" s="11">
        <f t="shared" si="50"/>
        <v>-444045.56501591264</v>
      </c>
      <c r="J290" s="11">
        <f t="shared" si="50"/>
        <v>-501944.25067519036</v>
      </c>
      <c r="K290" s="11">
        <f t="shared" si="50"/>
        <v>-417430.84660801874</v>
      </c>
      <c r="L290" s="11">
        <f t="shared" si="51"/>
        <v>-340855.16557478037</v>
      </c>
      <c r="M290" s="11">
        <f t="shared" si="51"/>
        <v>-184435.32931786065</v>
      </c>
      <c r="N290" s="11">
        <f t="shared" si="51"/>
        <v>-179299.15559002149</v>
      </c>
      <c r="O290" s="11">
        <f t="shared" si="51"/>
        <v>-167159.1085969471</v>
      </c>
    </row>
    <row r="291" spans="1:15">
      <c r="A291">
        <v>11</v>
      </c>
      <c r="B291" s="11">
        <f t="shared" si="50"/>
        <v>-605642.37426241068</v>
      </c>
      <c r="C291" s="11">
        <f t="shared" si="50"/>
        <v>-605189.04913197469</v>
      </c>
      <c r="D291" s="11">
        <f t="shared" si="50"/>
        <v>-544443.48165355937</v>
      </c>
      <c r="E291" s="11">
        <f t="shared" si="50"/>
        <v>-543990.15652312338</v>
      </c>
      <c r="F291" s="11">
        <f t="shared" si="50"/>
        <v>-518603.94921871094</v>
      </c>
      <c r="G291" s="11">
        <f t="shared" si="50"/>
        <v>-518603.94921871094</v>
      </c>
      <c r="H291" s="11">
        <f t="shared" si="50"/>
        <v>-518603.94921871094</v>
      </c>
      <c r="I291" s="11">
        <f t="shared" si="50"/>
        <v>-431112.19904457533</v>
      </c>
      <c r="J291" s="11">
        <f t="shared" si="50"/>
        <v>-487324.51521863142</v>
      </c>
      <c r="K291" s="11">
        <f t="shared" si="50"/>
        <v>-405272.6666097269</v>
      </c>
      <c r="L291" s="11">
        <f t="shared" si="51"/>
        <v>-330927.34521823336</v>
      </c>
      <c r="M291" s="11">
        <f t="shared" si="51"/>
        <v>-179063.42652219482</v>
      </c>
      <c r="N291" s="11">
        <f t="shared" si="51"/>
        <v>-174076.85008739951</v>
      </c>
      <c r="O291" s="11">
        <f t="shared" si="51"/>
        <v>-162290.39669606515</v>
      </c>
    </row>
    <row r="292" spans="1:15">
      <c r="A292">
        <v>12</v>
      </c>
      <c r="B292" s="11">
        <f t="shared" ref="B292:K300" si="52">B$281/((1+$B$173)^$A292)</f>
        <v>-588002.30510913662</v>
      </c>
      <c r="C292" s="11">
        <f t="shared" si="52"/>
        <v>-587562.18362327653</v>
      </c>
      <c r="D292" s="11">
        <f t="shared" si="52"/>
        <v>-528585.90451801894</v>
      </c>
      <c r="E292" s="11">
        <f t="shared" si="52"/>
        <v>-528145.78303215874</v>
      </c>
      <c r="F292" s="11">
        <f t="shared" si="52"/>
        <v>-503498.97982399125</v>
      </c>
      <c r="G292" s="11">
        <f t="shared" si="52"/>
        <v>-503498.97982399125</v>
      </c>
      <c r="H292" s="11">
        <f t="shared" si="52"/>
        <v>-503498.97982399125</v>
      </c>
      <c r="I292" s="11">
        <f t="shared" si="52"/>
        <v>-418555.53305298585</v>
      </c>
      <c r="J292" s="11">
        <f t="shared" si="52"/>
        <v>-473130.59729964222</v>
      </c>
      <c r="K292" s="11">
        <f t="shared" si="52"/>
        <v>-393468.60835895821</v>
      </c>
      <c r="L292" s="11">
        <f t="shared" ref="L292:O300" si="53">L$281/((1+$B$173)^$A292)</f>
        <v>-321288.6846778965</v>
      </c>
      <c r="M292" s="11">
        <f t="shared" si="53"/>
        <v>-173847.98691475228</v>
      </c>
      <c r="N292" s="11">
        <f t="shared" si="53"/>
        <v>-169006.6505702908</v>
      </c>
      <c r="O292" s="11">
        <f t="shared" si="53"/>
        <v>-157563.49193792735</v>
      </c>
    </row>
    <row r="293" spans="1:15">
      <c r="A293">
        <v>13</v>
      </c>
      <c r="B293" s="11">
        <f t="shared" si="52"/>
        <v>-570876.02437780262</v>
      </c>
      <c r="C293" s="11">
        <f t="shared" si="52"/>
        <v>-570448.72196434613</v>
      </c>
      <c r="D293" s="11">
        <f t="shared" si="52"/>
        <v>-513190.19856118341</v>
      </c>
      <c r="E293" s="11">
        <f t="shared" si="52"/>
        <v>-512762.89614772698</v>
      </c>
      <c r="F293" s="11">
        <f t="shared" si="52"/>
        <v>-488833.96099416632</v>
      </c>
      <c r="G293" s="11">
        <f t="shared" si="52"/>
        <v>-488833.96099416632</v>
      </c>
      <c r="H293" s="11">
        <f t="shared" si="52"/>
        <v>-488833.96099416632</v>
      </c>
      <c r="I293" s="11">
        <f t="shared" si="52"/>
        <v>-406364.59519707365</v>
      </c>
      <c r="J293" s="11">
        <f t="shared" si="52"/>
        <v>-459350.0944656721</v>
      </c>
      <c r="K293" s="11">
        <f t="shared" si="52"/>
        <v>-382008.35763005656</v>
      </c>
      <c r="L293" s="11">
        <f t="shared" si="53"/>
        <v>-311930.7618232005</v>
      </c>
      <c r="M293" s="11">
        <f t="shared" si="53"/>
        <v>-168784.45331529347</v>
      </c>
      <c r="N293" s="11">
        <f t="shared" si="53"/>
        <v>-164084.12676727262</v>
      </c>
      <c r="O293" s="11">
        <f t="shared" si="53"/>
        <v>-152974.26401740519</v>
      </c>
    </row>
    <row r="294" spans="1:15">
      <c r="A294">
        <v>14</v>
      </c>
      <c r="B294" s="11">
        <f t="shared" si="52"/>
        <v>-554248.56735708984</v>
      </c>
      <c r="C294" s="11">
        <f t="shared" si="52"/>
        <v>-553833.71064499614</v>
      </c>
      <c r="D294" s="11">
        <f t="shared" si="52"/>
        <v>-498242.91122444987</v>
      </c>
      <c r="E294" s="11">
        <f t="shared" si="52"/>
        <v>-497828.05451235623</v>
      </c>
      <c r="F294" s="11">
        <f t="shared" si="52"/>
        <v>-474596.07863511285</v>
      </c>
      <c r="G294" s="11">
        <f t="shared" si="52"/>
        <v>-474596.07863511285</v>
      </c>
      <c r="H294" s="11">
        <f t="shared" si="52"/>
        <v>-474596.07863511285</v>
      </c>
      <c r="I294" s="11">
        <f t="shared" si="52"/>
        <v>-394528.73320104234</v>
      </c>
      <c r="J294" s="11">
        <f t="shared" si="52"/>
        <v>-445970.96550065244</v>
      </c>
      <c r="K294" s="11">
        <f t="shared" si="52"/>
        <v>-370881.90061170532</v>
      </c>
      <c r="L294" s="11">
        <f t="shared" si="53"/>
        <v>-302845.39982835</v>
      </c>
      <c r="M294" s="11">
        <f t="shared" si="53"/>
        <v>-163868.40127698393</v>
      </c>
      <c r="N294" s="11">
        <f t="shared" si="53"/>
        <v>-159304.97744395401</v>
      </c>
      <c r="O294" s="11">
        <f t="shared" si="53"/>
        <v>-148518.70292951958</v>
      </c>
    </row>
    <row r="295" spans="1:15">
      <c r="A295">
        <v>15</v>
      </c>
      <c r="B295" s="11">
        <f t="shared" si="52"/>
        <v>-538105.40520105802</v>
      </c>
      <c r="C295" s="11">
        <f t="shared" si="52"/>
        <v>-537702.631694171</v>
      </c>
      <c r="D295" s="11">
        <f t="shared" si="52"/>
        <v>-483730.9817713105</v>
      </c>
      <c r="E295" s="11">
        <f t="shared" si="52"/>
        <v>-483328.20826442348</v>
      </c>
      <c r="F295" s="11">
        <f t="shared" si="52"/>
        <v>-460772.89187875035</v>
      </c>
      <c r="G295" s="11">
        <f t="shared" si="52"/>
        <v>-460772.89187875035</v>
      </c>
      <c r="H295" s="11">
        <f t="shared" si="52"/>
        <v>-460772.89187875035</v>
      </c>
      <c r="I295" s="11">
        <f t="shared" si="52"/>
        <v>-383037.60504955566</v>
      </c>
      <c r="J295" s="11">
        <f t="shared" si="52"/>
        <v>-432981.51990354602</v>
      </c>
      <c r="K295" s="11">
        <f t="shared" si="52"/>
        <v>-360079.51515699545</v>
      </c>
      <c r="L295" s="11">
        <f t="shared" si="53"/>
        <v>-294024.66002752422</v>
      </c>
      <c r="M295" s="11">
        <f t="shared" si="53"/>
        <v>-159095.53522037275</v>
      </c>
      <c r="N295" s="11">
        <f t="shared" si="53"/>
        <v>-154665.02664461551</v>
      </c>
      <c r="O295" s="11">
        <f t="shared" si="53"/>
        <v>-144192.915465553</v>
      </c>
    </row>
    <row r="296" spans="1:15">
      <c r="A296">
        <v>16</v>
      </c>
      <c r="B296" s="11">
        <f t="shared" si="52"/>
        <v>-522432.43223403703</v>
      </c>
      <c r="C296" s="11">
        <f t="shared" si="52"/>
        <v>-522041.38999434089</v>
      </c>
      <c r="D296" s="11">
        <f t="shared" si="52"/>
        <v>-469641.72987505887</v>
      </c>
      <c r="E296" s="11">
        <f t="shared" si="52"/>
        <v>-469250.68763536267</v>
      </c>
      <c r="F296" s="11">
        <f t="shared" si="52"/>
        <v>-447352.32221237902</v>
      </c>
      <c r="G296" s="11">
        <f t="shared" si="52"/>
        <v>-447352.32221237902</v>
      </c>
      <c r="H296" s="11">
        <f t="shared" si="52"/>
        <v>-447352.32221237902</v>
      </c>
      <c r="I296" s="11">
        <f t="shared" si="52"/>
        <v>-371881.16995102499</v>
      </c>
      <c r="J296" s="11">
        <f t="shared" si="52"/>
        <v>-420370.40767334576</v>
      </c>
      <c r="K296" s="11">
        <f t="shared" si="52"/>
        <v>-349591.76228834514</v>
      </c>
      <c r="L296" s="11">
        <f t="shared" si="53"/>
        <v>-285460.8349781789</v>
      </c>
      <c r="M296" s="11">
        <f t="shared" si="53"/>
        <v>-154461.68467997358</v>
      </c>
      <c r="N296" s="11">
        <f t="shared" si="53"/>
        <v>-150160.22004331608</v>
      </c>
      <c r="O296" s="11">
        <f t="shared" si="53"/>
        <v>-139993.12181121652</v>
      </c>
    </row>
    <row r="297" spans="1:15">
      <c r="A297">
        <v>17</v>
      </c>
      <c r="B297" s="11">
        <f t="shared" si="52"/>
        <v>-507215.95362527866</v>
      </c>
      <c r="C297" s="11">
        <f t="shared" si="52"/>
        <v>-506836.30096537952</v>
      </c>
      <c r="D297" s="11">
        <f t="shared" si="52"/>
        <v>-455962.8445388921</v>
      </c>
      <c r="E297" s="11">
        <f t="shared" si="52"/>
        <v>-455583.19187899289</v>
      </c>
      <c r="F297" s="11">
        <f t="shared" si="52"/>
        <v>-434322.64292463986</v>
      </c>
      <c r="G297" s="11">
        <f t="shared" si="52"/>
        <v>-434322.64292463986</v>
      </c>
      <c r="H297" s="11">
        <f t="shared" si="52"/>
        <v>-434322.64292463986</v>
      </c>
      <c r="I297" s="11">
        <f t="shared" si="52"/>
        <v>-361049.67956410191</v>
      </c>
      <c r="J297" s="11">
        <f t="shared" si="52"/>
        <v>-408126.6093915978</v>
      </c>
      <c r="K297" s="11">
        <f t="shared" si="52"/>
        <v>-339409.47794984968</v>
      </c>
      <c r="L297" s="11">
        <f t="shared" si="53"/>
        <v>-277146.4417263873</v>
      </c>
      <c r="M297" s="11">
        <f t="shared" si="53"/>
        <v>-149962.80066016852</v>
      </c>
      <c r="N297" s="11">
        <f t="shared" si="53"/>
        <v>-145786.62140127775</v>
      </c>
      <c r="O297" s="11">
        <f t="shared" si="53"/>
        <v>-135915.65224389953</v>
      </c>
    </row>
    <row r="298" spans="1:15">
      <c r="A298">
        <v>18</v>
      </c>
      <c r="B298" s="11">
        <f t="shared" si="52"/>
        <v>-492442.67342260067</v>
      </c>
      <c r="C298" s="11">
        <f t="shared" si="52"/>
        <v>-492074.07860716456</v>
      </c>
      <c r="D298" s="11">
        <f t="shared" si="52"/>
        <v>-442682.37333873019</v>
      </c>
      <c r="E298" s="11">
        <f t="shared" si="52"/>
        <v>-442313.77852329408</v>
      </c>
      <c r="F298" s="11">
        <f t="shared" si="52"/>
        <v>-421672.46885887365</v>
      </c>
      <c r="G298" s="11">
        <f t="shared" si="52"/>
        <v>-421672.46885887365</v>
      </c>
      <c r="H298" s="11">
        <f t="shared" si="52"/>
        <v>-421672.46885887365</v>
      </c>
      <c r="I298" s="11">
        <f t="shared" si="52"/>
        <v>-350533.66947971057</v>
      </c>
      <c r="J298" s="11">
        <f t="shared" si="52"/>
        <v>-396239.4265937843</v>
      </c>
      <c r="K298" s="11">
        <f t="shared" si="52"/>
        <v>-329523.76499985403</v>
      </c>
      <c r="L298" s="11">
        <f t="shared" si="53"/>
        <v>-269074.21526833717</v>
      </c>
      <c r="M298" s="11">
        <f t="shared" si="53"/>
        <v>-145594.95209725099</v>
      </c>
      <c r="N298" s="11">
        <f t="shared" si="53"/>
        <v>-141540.4091274541</v>
      </c>
      <c r="O298" s="11">
        <f t="shared" si="53"/>
        <v>-131956.94392611604</v>
      </c>
    </row>
    <row r="299" spans="1:15">
      <c r="A299">
        <v>19</v>
      </c>
      <c r="B299" s="11">
        <f t="shared" si="52"/>
        <v>-478099.68293456378</v>
      </c>
      <c r="C299" s="11">
        <f t="shared" si="52"/>
        <v>-477741.82389045105</v>
      </c>
      <c r="D299" s="11">
        <f t="shared" si="52"/>
        <v>-429788.71197934967</v>
      </c>
      <c r="E299" s="11">
        <f t="shared" si="52"/>
        <v>-429430.852935237</v>
      </c>
      <c r="F299" s="11">
        <f t="shared" si="52"/>
        <v>-409390.74646492588</v>
      </c>
      <c r="G299" s="11">
        <f t="shared" si="52"/>
        <v>-409390.74646492588</v>
      </c>
      <c r="H299" s="11">
        <f t="shared" si="52"/>
        <v>-409390.74646492588</v>
      </c>
      <c r="I299" s="11">
        <f t="shared" si="52"/>
        <v>-340323.95095117536</v>
      </c>
      <c r="J299" s="11">
        <f t="shared" si="52"/>
        <v>-384698.47242114978</v>
      </c>
      <c r="K299" s="11">
        <f t="shared" si="52"/>
        <v>-319925.98543675151</v>
      </c>
      <c r="L299" s="11">
        <f t="shared" si="53"/>
        <v>-261237.1022022691</v>
      </c>
      <c r="M299" s="11">
        <f t="shared" si="53"/>
        <v>-141354.32242451553</v>
      </c>
      <c r="N299" s="11">
        <f t="shared" si="53"/>
        <v>-137417.87293927584</v>
      </c>
      <c r="O299" s="11">
        <f t="shared" si="53"/>
        <v>-128113.53779234568</v>
      </c>
    </row>
    <row r="300" spans="1:15">
      <c r="A300">
        <v>20</v>
      </c>
      <c r="B300" s="11">
        <f t="shared" si="52"/>
        <v>-464174.44945103279</v>
      </c>
      <c r="C300" s="11">
        <f t="shared" si="52"/>
        <v>-463827.01348587481</v>
      </c>
      <c r="D300" s="11">
        <f t="shared" si="52"/>
        <v>-417270.59415470844</v>
      </c>
      <c r="E300" s="11">
        <f t="shared" si="52"/>
        <v>-416923.15818955045</v>
      </c>
      <c r="F300" s="11">
        <f t="shared" si="52"/>
        <v>-397466.74414070474</v>
      </c>
      <c r="G300" s="11">
        <f t="shared" si="52"/>
        <v>-397466.74414070474</v>
      </c>
      <c r="H300" s="11">
        <f t="shared" si="52"/>
        <v>-397466.74414070474</v>
      </c>
      <c r="I300" s="11">
        <f t="shared" si="52"/>
        <v>-330411.60286521877</v>
      </c>
      <c r="J300" s="11">
        <f t="shared" si="52"/>
        <v>-373493.66254480561</v>
      </c>
      <c r="K300" s="11">
        <f t="shared" si="52"/>
        <v>-310607.75285121507</v>
      </c>
      <c r="L300" s="11">
        <f t="shared" si="53"/>
        <v>-253628.25456530982</v>
      </c>
      <c r="M300" s="11">
        <f t="shared" si="53"/>
        <v>-137237.20623739372</v>
      </c>
      <c r="N300" s="11">
        <f t="shared" si="53"/>
        <v>-133415.41062065616</v>
      </c>
      <c r="O300" s="11">
        <f t="shared" si="53"/>
        <v>-124382.0755265492</v>
      </c>
    </row>
    <row r="301" spans="1:15">
      <c r="B301" s="11"/>
      <c r="C301" s="11"/>
      <c r="D301" s="11"/>
      <c r="E301" s="11"/>
      <c r="F301" s="11"/>
      <c r="G301" s="11"/>
      <c r="H301" s="11"/>
      <c r="I301" s="11"/>
      <c r="J301" s="11"/>
      <c r="K301" s="11"/>
      <c r="L301" s="11"/>
      <c r="M301" s="11"/>
      <c r="N301" s="11"/>
      <c r="O301" s="11"/>
    </row>
    <row r="302" spans="1:15">
      <c r="A302" t="s">
        <v>225</v>
      </c>
      <c r="B302" s="11">
        <f>SUM(B281:B300)</f>
        <v>-12496959.266169466</v>
      </c>
      <c r="C302" s="11">
        <f t="shared" ref="C302:O302" si="54">SUM(C281:C300)</f>
        <v>-12487605.254742688</v>
      </c>
      <c r="D302" s="11">
        <f t="shared" si="54"/>
        <v>-11234167.723555034</v>
      </c>
      <c r="E302" s="11">
        <f t="shared" si="54"/>
        <v>-11224813.712128263</v>
      </c>
      <c r="F302" s="11">
        <f t="shared" si="54"/>
        <v>-10700989.072228944</v>
      </c>
      <c r="G302" s="11">
        <f t="shared" si="54"/>
        <v>-10700989.072228944</v>
      </c>
      <c r="H302" s="11">
        <f t="shared" si="54"/>
        <v>-10700989.072228944</v>
      </c>
      <c r="I302" s="11">
        <f t="shared" si="54"/>
        <v>-8895664.8668616489</v>
      </c>
      <c r="J302" s="11">
        <f t="shared" si="54"/>
        <v>-10055562.283781568</v>
      </c>
      <c r="K302" s="11">
        <f t="shared" si="54"/>
        <v>-8362486.2155355532</v>
      </c>
      <c r="L302" s="11">
        <f t="shared" si="54"/>
        <v>-6828428.3415446915</v>
      </c>
      <c r="M302" s="11">
        <f t="shared" si="54"/>
        <v>-3694834.5135755539</v>
      </c>
      <c r="N302" s="11">
        <f t="shared" si="54"/>
        <v>-3591940.3878810443</v>
      </c>
      <c r="O302" s="11">
        <f t="shared" si="54"/>
        <v>-3348736.0907849302</v>
      </c>
    </row>
    <row r="304" spans="1:15">
      <c r="A304" t="s">
        <v>200</v>
      </c>
    </row>
    <row r="305" spans="1:15">
      <c r="A305" t="s">
        <v>100</v>
      </c>
    </row>
    <row r="306" spans="1:15">
      <c r="A306">
        <v>1</v>
      </c>
      <c r="B306" s="11">
        <f t="shared" ref="B306:O306" si="55">-$B$176*B243</f>
        <v>-269890.49744875432</v>
      </c>
      <c r="C306" s="11">
        <f t="shared" si="55"/>
        <v>-269888.02054875431</v>
      </c>
      <c r="D306" s="11">
        <f t="shared" si="55"/>
        <v>-277340.53324875433</v>
      </c>
      <c r="E306" s="11">
        <f t="shared" si="55"/>
        <v>-277339.89413013641</v>
      </c>
      <c r="F306" s="11">
        <f t="shared" si="55"/>
        <v>-275971.28694875434</v>
      </c>
      <c r="G306" s="11">
        <f t="shared" si="55"/>
        <v>-275972.80504875432</v>
      </c>
      <c r="H306" s="11">
        <f t="shared" si="55"/>
        <v>-275971.44674875436</v>
      </c>
      <c r="I306" s="11">
        <f t="shared" si="55"/>
        <v>-283572.0141487543</v>
      </c>
      <c r="J306" s="11">
        <f t="shared" si="55"/>
        <v>-259644.68074875433</v>
      </c>
      <c r="K306" s="11">
        <f t="shared" si="55"/>
        <v>-263106.74774875428</v>
      </c>
      <c r="L306" s="11">
        <f t="shared" si="55"/>
        <v>-264336.48873013642</v>
      </c>
      <c r="M306" s="11">
        <f t="shared" si="55"/>
        <v>-248245.66734875433</v>
      </c>
      <c r="N306" s="11">
        <f t="shared" si="55"/>
        <v>-235481.40264875427</v>
      </c>
      <c r="O306" s="11">
        <f t="shared" si="55"/>
        <v>-202899.22134875428</v>
      </c>
    </row>
    <row r="307" spans="1:15">
      <c r="A307">
        <v>2</v>
      </c>
      <c r="B307" s="11">
        <f t="shared" ref="B307:K316" si="56">B$306/((1+$B$173)^$A307)</f>
        <v>-254397.6788092698</v>
      </c>
      <c r="C307" s="11">
        <f t="shared" si="56"/>
        <v>-254395.34409346245</v>
      </c>
      <c r="D307" s="11">
        <f t="shared" si="56"/>
        <v>-261420.05207724983</v>
      </c>
      <c r="E307" s="11">
        <f t="shared" si="56"/>
        <v>-261419.44964665512</v>
      </c>
      <c r="F307" s="11">
        <f t="shared" si="56"/>
        <v>-260129.40611627331</v>
      </c>
      <c r="G307" s="11">
        <f t="shared" si="56"/>
        <v>-260130.83707112295</v>
      </c>
      <c r="H307" s="11">
        <f t="shared" si="56"/>
        <v>-260129.55674309962</v>
      </c>
      <c r="I307" s="11">
        <f t="shared" si="56"/>
        <v>-267293.82048143493</v>
      </c>
      <c r="J307" s="11">
        <f t="shared" si="56"/>
        <v>-244740.01390211549</v>
      </c>
      <c r="K307" s="11">
        <f t="shared" si="56"/>
        <v>-248003.34409346242</v>
      </c>
      <c r="L307" s="11">
        <f t="shared" ref="L307:O316" si="57">L$306/((1+$B$173)^$A307)</f>
        <v>-249162.49291180738</v>
      </c>
      <c r="M307" s="11">
        <f t="shared" si="57"/>
        <v>-233995.35050311466</v>
      </c>
      <c r="N307" s="11">
        <f t="shared" si="57"/>
        <v>-221963.80681379422</v>
      </c>
      <c r="O307" s="11">
        <f t="shared" si="57"/>
        <v>-191251.97600975991</v>
      </c>
    </row>
    <row r="308" spans="1:15">
      <c r="A308">
        <v>3</v>
      </c>
      <c r="B308" s="11">
        <f t="shared" si="56"/>
        <v>-246988.03767890271</v>
      </c>
      <c r="C308" s="11">
        <f t="shared" si="56"/>
        <v>-246985.77096452666</v>
      </c>
      <c r="D308" s="11">
        <f t="shared" si="56"/>
        <v>-253805.87580315516</v>
      </c>
      <c r="E308" s="11">
        <f t="shared" si="56"/>
        <v>-253805.29091908265</v>
      </c>
      <c r="F308" s="11">
        <f t="shared" si="56"/>
        <v>-252552.82147210999</v>
      </c>
      <c r="G308" s="11">
        <f t="shared" si="56"/>
        <v>-252554.21074866306</v>
      </c>
      <c r="H308" s="11">
        <f t="shared" si="56"/>
        <v>-252552.96771174719</v>
      </c>
      <c r="I308" s="11">
        <f t="shared" si="56"/>
        <v>-259508.56357420865</v>
      </c>
      <c r="J308" s="11">
        <f t="shared" si="56"/>
        <v>-237611.66398263641</v>
      </c>
      <c r="K308" s="11">
        <f t="shared" si="56"/>
        <v>-240779.94572180818</v>
      </c>
      <c r="L308" s="11">
        <f t="shared" si="57"/>
        <v>-241905.3329240848</v>
      </c>
      <c r="M308" s="11">
        <f t="shared" si="57"/>
        <v>-227179.95194477151</v>
      </c>
      <c r="N308" s="11">
        <f t="shared" si="57"/>
        <v>-215498.84156679048</v>
      </c>
      <c r="O308" s="11">
        <f t="shared" si="57"/>
        <v>-185681.530106563</v>
      </c>
    </row>
    <row r="309" spans="1:15">
      <c r="A309">
        <v>4</v>
      </c>
      <c r="B309" s="11">
        <f t="shared" si="56"/>
        <v>-239794.21133874051</v>
      </c>
      <c r="C309" s="11">
        <f t="shared" si="56"/>
        <v>-239792.01064517151</v>
      </c>
      <c r="D309" s="11">
        <f t="shared" si="56"/>
        <v>-246413.47165354871</v>
      </c>
      <c r="E309" s="11">
        <f t="shared" si="56"/>
        <v>-246412.90380493461</v>
      </c>
      <c r="F309" s="11">
        <f t="shared" si="56"/>
        <v>-245196.91405059226</v>
      </c>
      <c r="G309" s="11">
        <f t="shared" si="56"/>
        <v>-245198.26286277967</v>
      </c>
      <c r="H309" s="11">
        <f t="shared" si="56"/>
        <v>-245197.05603082251</v>
      </c>
      <c r="I309" s="11">
        <f t="shared" si="56"/>
        <v>-251950.0617225327</v>
      </c>
      <c r="J309" s="11">
        <f t="shared" si="56"/>
        <v>-230690.93590547226</v>
      </c>
      <c r="K309" s="11">
        <f t="shared" si="56"/>
        <v>-233766.93759398852</v>
      </c>
      <c r="L309" s="11">
        <f t="shared" si="57"/>
        <v>-234859.5465282377</v>
      </c>
      <c r="M309" s="11">
        <f t="shared" si="57"/>
        <v>-220563.06014055488</v>
      </c>
      <c r="N309" s="11">
        <f t="shared" si="57"/>
        <v>-209222.17627843737</v>
      </c>
      <c r="O309" s="11">
        <f t="shared" si="57"/>
        <v>-180273.33020054662</v>
      </c>
    </row>
    <row r="310" spans="1:15">
      <c r="A310">
        <v>5</v>
      </c>
      <c r="B310" s="11">
        <f t="shared" si="56"/>
        <v>-232809.91392110731</v>
      </c>
      <c r="C310" s="11">
        <f t="shared" si="56"/>
        <v>-232807.77732540926</v>
      </c>
      <c r="D310" s="11">
        <f t="shared" si="56"/>
        <v>-239236.38024616381</v>
      </c>
      <c r="E310" s="11">
        <f t="shared" si="56"/>
        <v>-239235.82893682973</v>
      </c>
      <c r="F310" s="11">
        <f t="shared" si="56"/>
        <v>-238055.25635979831</v>
      </c>
      <c r="G310" s="11">
        <f t="shared" si="56"/>
        <v>-238056.56588619386</v>
      </c>
      <c r="H310" s="11">
        <f t="shared" si="56"/>
        <v>-238055.39420468206</v>
      </c>
      <c r="I310" s="11">
        <f t="shared" si="56"/>
        <v>-244611.71041022593</v>
      </c>
      <c r="J310" s="11">
        <f t="shared" si="56"/>
        <v>-223971.78243249733</v>
      </c>
      <c r="K310" s="11">
        <f t="shared" si="56"/>
        <v>-226958.19183882384</v>
      </c>
      <c r="L310" s="11">
        <f t="shared" si="57"/>
        <v>-228018.97721188128</v>
      </c>
      <c r="M310" s="11">
        <f t="shared" si="57"/>
        <v>-214138.89334034454</v>
      </c>
      <c r="N310" s="11">
        <f t="shared" si="57"/>
        <v>-203128.32648391981</v>
      </c>
      <c r="O310" s="11">
        <f t="shared" si="57"/>
        <v>-175022.65068014237</v>
      </c>
    </row>
    <row r="311" spans="1:15">
      <c r="A311">
        <v>6</v>
      </c>
      <c r="B311" s="11">
        <f t="shared" si="56"/>
        <v>-226029.04264185173</v>
      </c>
      <c r="C311" s="11">
        <f t="shared" si="56"/>
        <v>-226026.96827709634</v>
      </c>
      <c r="D311" s="11">
        <f t="shared" si="56"/>
        <v>-232268.33033608136</v>
      </c>
      <c r="E311" s="11">
        <f t="shared" si="56"/>
        <v>-232267.79508430071</v>
      </c>
      <c r="F311" s="11">
        <f t="shared" si="56"/>
        <v>-231121.60811630901</v>
      </c>
      <c r="G311" s="11">
        <f t="shared" si="56"/>
        <v>-231122.87950115907</v>
      </c>
      <c r="H311" s="11">
        <f t="shared" si="56"/>
        <v>-231121.74194629327</v>
      </c>
      <c r="I311" s="11">
        <f t="shared" si="56"/>
        <v>-237487.09748565624</v>
      </c>
      <c r="J311" s="11">
        <f t="shared" si="56"/>
        <v>-217448.33245873527</v>
      </c>
      <c r="K311" s="11">
        <f t="shared" si="56"/>
        <v>-220347.75906681924</v>
      </c>
      <c r="L311" s="11">
        <f t="shared" si="57"/>
        <v>-221377.64777852548</v>
      </c>
      <c r="M311" s="11">
        <f t="shared" si="57"/>
        <v>-207901.83819450927</v>
      </c>
      <c r="N311" s="11">
        <f t="shared" si="57"/>
        <v>-197211.96746011631</v>
      </c>
      <c r="O311" s="11">
        <f t="shared" si="57"/>
        <v>-169924.90357295374</v>
      </c>
    </row>
    <row r="312" spans="1:15">
      <c r="A312">
        <v>7</v>
      </c>
      <c r="B312" s="11">
        <f t="shared" si="56"/>
        <v>-219445.6724678172</v>
      </c>
      <c r="C312" s="11">
        <f t="shared" si="56"/>
        <v>-219443.65852145277</v>
      </c>
      <c r="D312" s="11">
        <f t="shared" si="56"/>
        <v>-225503.23333600131</v>
      </c>
      <c r="E312" s="11">
        <f t="shared" si="56"/>
        <v>-225502.71367407835</v>
      </c>
      <c r="F312" s="11">
        <f t="shared" si="56"/>
        <v>-224389.91079253302</v>
      </c>
      <c r="G312" s="11">
        <f t="shared" si="56"/>
        <v>-224391.14514675637</v>
      </c>
      <c r="H312" s="11">
        <f t="shared" si="56"/>
        <v>-224390.04072455654</v>
      </c>
      <c r="I312" s="11">
        <f t="shared" si="56"/>
        <v>-230569.99755888953</v>
      </c>
      <c r="J312" s="11">
        <f t="shared" si="56"/>
        <v>-211114.88588226723</v>
      </c>
      <c r="K312" s="11">
        <f t="shared" si="56"/>
        <v>-213929.86317166916</v>
      </c>
      <c r="L312" s="11">
        <f t="shared" si="57"/>
        <v>-214929.75512478201</v>
      </c>
      <c r="M312" s="11">
        <f t="shared" si="57"/>
        <v>-201846.44484903812</v>
      </c>
      <c r="N312" s="11">
        <f t="shared" si="57"/>
        <v>-191467.92957292843</v>
      </c>
      <c r="O312" s="11">
        <f t="shared" si="57"/>
        <v>-164975.63453684829</v>
      </c>
    </row>
    <row r="313" spans="1:15">
      <c r="A313">
        <v>8</v>
      </c>
      <c r="B313" s="11">
        <f t="shared" si="56"/>
        <v>-213054.05093962839</v>
      </c>
      <c r="C313" s="11">
        <f t="shared" si="56"/>
        <v>-213052.09565189591</v>
      </c>
      <c r="D313" s="11">
        <f t="shared" si="56"/>
        <v>-218935.1779961178</v>
      </c>
      <c r="E313" s="11">
        <f t="shared" si="56"/>
        <v>-218934.673469979</v>
      </c>
      <c r="F313" s="11">
        <f t="shared" si="56"/>
        <v>-217854.2823228476</v>
      </c>
      <c r="G313" s="11">
        <f t="shared" si="56"/>
        <v>-217855.48072500623</v>
      </c>
      <c r="H313" s="11">
        <f t="shared" si="56"/>
        <v>-217854.40847044328</v>
      </c>
      <c r="I313" s="11">
        <f t="shared" si="56"/>
        <v>-223854.36656202871</v>
      </c>
      <c r="J313" s="11">
        <f t="shared" si="56"/>
        <v>-204965.90862356045</v>
      </c>
      <c r="K313" s="11">
        <f t="shared" si="56"/>
        <v>-207698.89628317396</v>
      </c>
      <c r="L313" s="11">
        <f t="shared" si="57"/>
        <v>-208669.66516969132</v>
      </c>
      <c r="M313" s="11">
        <f t="shared" si="57"/>
        <v>-195967.42218353215</v>
      </c>
      <c r="N313" s="11">
        <f t="shared" si="57"/>
        <v>-185891.1937601247</v>
      </c>
      <c r="O313" s="11">
        <f t="shared" si="57"/>
        <v>-160170.51896781387</v>
      </c>
    </row>
    <row r="314" spans="1:15">
      <c r="A314">
        <v>9</v>
      </c>
      <c r="B314" s="11">
        <f t="shared" si="56"/>
        <v>-206848.59314527028</v>
      </c>
      <c r="C314" s="11">
        <f t="shared" si="56"/>
        <v>-206846.69480766592</v>
      </c>
      <c r="D314" s="11">
        <f t="shared" si="56"/>
        <v>-212558.42523894933</v>
      </c>
      <c r="E314" s="11">
        <f t="shared" si="56"/>
        <v>-212557.93540774658</v>
      </c>
      <c r="F314" s="11">
        <f t="shared" si="56"/>
        <v>-211509.01196392972</v>
      </c>
      <c r="G314" s="11">
        <f t="shared" si="56"/>
        <v>-211510.17546117108</v>
      </c>
      <c r="H314" s="11">
        <f t="shared" si="56"/>
        <v>-211509.13443732358</v>
      </c>
      <c r="I314" s="11">
        <f t="shared" si="56"/>
        <v>-217334.33646798902</v>
      </c>
      <c r="J314" s="11">
        <f t="shared" si="56"/>
        <v>-198996.02778986451</v>
      </c>
      <c r="K314" s="11">
        <f t="shared" si="56"/>
        <v>-201649.41386715916</v>
      </c>
      <c r="L314" s="11">
        <f t="shared" si="57"/>
        <v>-202591.90793173912</v>
      </c>
      <c r="M314" s="11">
        <f t="shared" si="57"/>
        <v>-190259.63318789529</v>
      </c>
      <c r="N314" s="11">
        <f t="shared" si="57"/>
        <v>-180476.88714575215</v>
      </c>
      <c r="O314" s="11">
        <f t="shared" si="57"/>
        <v>-155505.35822117853</v>
      </c>
    </row>
    <row r="315" spans="1:15">
      <c r="A315">
        <v>10</v>
      </c>
      <c r="B315" s="11">
        <f t="shared" si="56"/>
        <v>-200823.87684006823</v>
      </c>
      <c r="C315" s="11">
        <f t="shared" si="56"/>
        <v>-200822.03379385042</v>
      </c>
      <c r="D315" s="11">
        <f t="shared" si="56"/>
        <v>-206367.40314461099</v>
      </c>
      <c r="E315" s="11">
        <f t="shared" si="56"/>
        <v>-206366.92758033649</v>
      </c>
      <c r="F315" s="11">
        <f t="shared" si="56"/>
        <v>-205348.55530478613</v>
      </c>
      <c r="G315" s="11">
        <f t="shared" si="56"/>
        <v>-205349.68491375833</v>
      </c>
      <c r="H315" s="11">
        <f t="shared" si="56"/>
        <v>-205348.67421099375</v>
      </c>
      <c r="I315" s="11">
        <f t="shared" si="56"/>
        <v>-211004.21016309614</v>
      </c>
      <c r="J315" s="11">
        <f t="shared" si="56"/>
        <v>-193200.02698045099</v>
      </c>
      <c r="K315" s="11">
        <f t="shared" si="56"/>
        <v>-195776.12996811571</v>
      </c>
      <c r="L315" s="11">
        <f t="shared" si="57"/>
        <v>-196691.17274926128</v>
      </c>
      <c r="M315" s="11">
        <f t="shared" si="57"/>
        <v>-184718.09047368474</v>
      </c>
      <c r="N315" s="11">
        <f t="shared" si="57"/>
        <v>-175220.27878228363</v>
      </c>
      <c r="O315" s="11">
        <f t="shared" si="57"/>
        <v>-150976.07594289177</v>
      </c>
    </row>
    <row r="316" spans="1:15">
      <c r="A316">
        <v>11</v>
      </c>
      <c r="B316" s="11">
        <f t="shared" si="56"/>
        <v>-194974.6377088041</v>
      </c>
      <c r="C316" s="11">
        <f t="shared" si="56"/>
        <v>-194972.84834354409</v>
      </c>
      <c r="D316" s="11">
        <f t="shared" si="56"/>
        <v>-200356.7020821466</v>
      </c>
      <c r="E316" s="11">
        <f t="shared" si="56"/>
        <v>-200356.24036925874</v>
      </c>
      <c r="F316" s="11">
        <f t="shared" si="56"/>
        <v>-199367.52942212246</v>
      </c>
      <c r="G316" s="11">
        <f t="shared" si="56"/>
        <v>-199368.62612986244</v>
      </c>
      <c r="H316" s="11">
        <f t="shared" si="56"/>
        <v>-199367.64486504247</v>
      </c>
      <c r="I316" s="11">
        <f t="shared" si="56"/>
        <v>-204858.45646902538</v>
      </c>
      <c r="J316" s="11">
        <f t="shared" si="56"/>
        <v>-187572.84172859319</v>
      </c>
      <c r="K316" s="11">
        <f t="shared" si="56"/>
        <v>-190073.9125904036</v>
      </c>
      <c r="L316" s="11">
        <f t="shared" si="57"/>
        <v>-190962.30364005949</v>
      </c>
      <c r="M316" s="11">
        <f t="shared" si="57"/>
        <v>-179337.9519161988</v>
      </c>
      <c r="N316" s="11">
        <f t="shared" si="57"/>
        <v>-170116.77551678024</v>
      </c>
      <c r="O316" s="11">
        <f t="shared" si="57"/>
        <v>-146578.71450766191</v>
      </c>
    </row>
    <row r="317" spans="1:15">
      <c r="A317">
        <v>12</v>
      </c>
      <c r="B317" s="11">
        <f t="shared" ref="B317:K325" si="58">B$306/((1+$B$173)^$A317)</f>
        <v>-189295.76476582926</v>
      </c>
      <c r="C317" s="11">
        <f t="shared" si="58"/>
        <v>-189294.027518004</v>
      </c>
      <c r="D317" s="11">
        <f t="shared" si="58"/>
        <v>-194521.06998266661</v>
      </c>
      <c r="E317" s="11">
        <f t="shared" si="58"/>
        <v>-194520.62171772696</v>
      </c>
      <c r="F317" s="11">
        <f t="shared" si="58"/>
        <v>-193560.70817681795</v>
      </c>
      <c r="G317" s="11">
        <f t="shared" si="58"/>
        <v>-193561.77294161406</v>
      </c>
      <c r="H317" s="11">
        <f t="shared" si="58"/>
        <v>-193560.8202573228</v>
      </c>
      <c r="I317" s="11">
        <f t="shared" si="58"/>
        <v>-198891.7053097334</v>
      </c>
      <c r="J317" s="11">
        <f t="shared" si="58"/>
        <v>-182109.5550763041</v>
      </c>
      <c r="K317" s="11">
        <f t="shared" si="58"/>
        <v>-184537.77921398409</v>
      </c>
      <c r="L317" s="11">
        <f t="shared" ref="L317:O325" si="59">L$306/((1+$B$173)^$A317)</f>
        <v>-185400.2947961743</v>
      </c>
      <c r="M317" s="11">
        <f t="shared" si="59"/>
        <v>-174114.516423494</v>
      </c>
      <c r="N317" s="11">
        <f t="shared" si="59"/>
        <v>-165161.91797745656</v>
      </c>
      <c r="O317" s="11">
        <f t="shared" si="59"/>
        <v>-142309.43156083682</v>
      </c>
    </row>
    <row r="318" spans="1:15">
      <c r="A318">
        <v>13</v>
      </c>
      <c r="B318" s="11">
        <f t="shared" si="58"/>
        <v>-183782.29588915463</v>
      </c>
      <c r="C318" s="11">
        <f t="shared" si="58"/>
        <v>-183780.60924078058</v>
      </c>
      <c r="D318" s="11">
        <f t="shared" si="58"/>
        <v>-188855.40775016177</v>
      </c>
      <c r="E318" s="11">
        <f t="shared" si="58"/>
        <v>-188854.97254148248</v>
      </c>
      <c r="F318" s="11">
        <f t="shared" si="58"/>
        <v>-187923.01764739607</v>
      </c>
      <c r="G318" s="11">
        <f t="shared" si="58"/>
        <v>-187924.05139962531</v>
      </c>
      <c r="H318" s="11">
        <f t="shared" si="58"/>
        <v>-187923.12646342022</v>
      </c>
      <c r="I318" s="11">
        <f t="shared" si="58"/>
        <v>-193098.74301915863</v>
      </c>
      <c r="J318" s="11">
        <f t="shared" si="58"/>
        <v>-176805.39327796514</v>
      </c>
      <c r="K318" s="11">
        <f t="shared" si="58"/>
        <v>-179162.89244076126</v>
      </c>
      <c r="L318" s="11">
        <f t="shared" si="59"/>
        <v>-180000.28620987796</v>
      </c>
      <c r="M318" s="11">
        <f t="shared" si="59"/>
        <v>-169043.21982863496</v>
      </c>
      <c r="N318" s="11">
        <f t="shared" si="59"/>
        <v>-160351.37667714228</v>
      </c>
      <c r="O318" s="11">
        <f t="shared" si="59"/>
        <v>-138164.49666100665</v>
      </c>
    </row>
    <row r="319" spans="1:15">
      <c r="A319">
        <v>14</v>
      </c>
      <c r="B319" s="11">
        <f t="shared" si="58"/>
        <v>-178429.41348461612</v>
      </c>
      <c r="C319" s="11">
        <f t="shared" si="58"/>
        <v>-178427.77596192289</v>
      </c>
      <c r="D319" s="11">
        <f t="shared" si="58"/>
        <v>-183354.7648059823</v>
      </c>
      <c r="E319" s="11">
        <f t="shared" si="58"/>
        <v>-183354.34227328395</v>
      </c>
      <c r="F319" s="11">
        <f t="shared" si="58"/>
        <v>-182449.53169650101</v>
      </c>
      <c r="G319" s="11">
        <f t="shared" si="58"/>
        <v>-182450.53533944202</v>
      </c>
      <c r="H319" s="11">
        <f t="shared" si="58"/>
        <v>-182449.63734312641</v>
      </c>
      <c r="I319" s="11">
        <f t="shared" si="58"/>
        <v>-187474.50778559089</v>
      </c>
      <c r="J319" s="11">
        <f t="shared" si="58"/>
        <v>-171655.72162909235</v>
      </c>
      <c r="K319" s="11">
        <f t="shared" si="58"/>
        <v>-173944.55576772935</v>
      </c>
      <c r="L319" s="11">
        <f t="shared" si="59"/>
        <v>-174757.55942706598</v>
      </c>
      <c r="M319" s="11">
        <f t="shared" si="59"/>
        <v>-164119.63090158731</v>
      </c>
      <c r="N319" s="11">
        <f t="shared" si="59"/>
        <v>-155680.94823023523</v>
      </c>
      <c r="O319" s="11">
        <f t="shared" si="59"/>
        <v>-134140.28802039477</v>
      </c>
    </row>
    <row r="320" spans="1:15">
      <c r="A320">
        <v>15</v>
      </c>
      <c r="B320" s="11">
        <f t="shared" si="58"/>
        <v>-173232.44027632632</v>
      </c>
      <c r="C320" s="11">
        <f t="shared" si="58"/>
        <v>-173230.85044846879</v>
      </c>
      <c r="D320" s="11">
        <f t="shared" si="58"/>
        <v>-178014.33476308957</v>
      </c>
      <c r="E320" s="11">
        <f t="shared" si="58"/>
        <v>-178013.92453716887</v>
      </c>
      <c r="F320" s="11">
        <f t="shared" si="58"/>
        <v>-177135.46766650584</v>
      </c>
      <c r="G320" s="11">
        <f t="shared" si="58"/>
        <v>-177136.44207712816</v>
      </c>
      <c r="H320" s="11">
        <f t="shared" si="58"/>
        <v>-177135.57023604505</v>
      </c>
      <c r="I320" s="11">
        <f t="shared" si="58"/>
        <v>-182014.085228729</v>
      </c>
      <c r="J320" s="11">
        <f t="shared" si="58"/>
        <v>-166656.04041659451</v>
      </c>
      <c r="K320" s="11">
        <f t="shared" si="58"/>
        <v>-168878.20948323238</v>
      </c>
      <c r="L320" s="11">
        <f t="shared" si="59"/>
        <v>-169667.53342433588</v>
      </c>
      <c r="M320" s="11">
        <f t="shared" si="59"/>
        <v>-159339.44747726922</v>
      </c>
      <c r="N320" s="11">
        <f t="shared" si="59"/>
        <v>-151146.55167984002</v>
      </c>
      <c r="O320" s="11">
        <f t="shared" si="59"/>
        <v>-130233.28934018909</v>
      </c>
    </row>
    <row r="321" spans="1:15">
      <c r="A321">
        <v>16</v>
      </c>
      <c r="B321" s="11">
        <f t="shared" si="58"/>
        <v>-168186.83521973432</v>
      </c>
      <c r="C321" s="11">
        <f t="shared" si="58"/>
        <v>-168185.29169754256</v>
      </c>
      <c r="D321" s="11">
        <f t="shared" si="58"/>
        <v>-172829.45122630059</v>
      </c>
      <c r="E321" s="11">
        <f t="shared" si="58"/>
        <v>-172829.05294870766</v>
      </c>
      <c r="F321" s="11">
        <f t="shared" si="58"/>
        <v>-171976.18220049114</v>
      </c>
      <c r="G321" s="11">
        <f t="shared" si="58"/>
        <v>-171977.12823022157</v>
      </c>
      <c r="H321" s="11">
        <f t="shared" si="58"/>
        <v>-171976.28178256802</v>
      </c>
      <c r="I321" s="11">
        <f t="shared" si="58"/>
        <v>-176712.70410556218</v>
      </c>
      <c r="J321" s="11">
        <f t="shared" si="58"/>
        <v>-161801.980986985</v>
      </c>
      <c r="K321" s="11">
        <f t="shared" si="58"/>
        <v>-163959.42668274991</v>
      </c>
      <c r="L321" s="11">
        <f t="shared" si="59"/>
        <v>-164725.76060615137</v>
      </c>
      <c r="M321" s="11">
        <f t="shared" si="59"/>
        <v>-154698.49269637791</v>
      </c>
      <c r="N321" s="11">
        <f t="shared" si="59"/>
        <v>-146744.22493188354</v>
      </c>
      <c r="O321" s="11">
        <f t="shared" si="59"/>
        <v>-126440.08673804768</v>
      </c>
    </row>
    <row r="322" spans="1:15">
      <c r="A322">
        <v>17</v>
      </c>
      <c r="B322" s="11">
        <f t="shared" si="58"/>
        <v>-163288.18953372265</v>
      </c>
      <c r="C322" s="11">
        <f t="shared" si="58"/>
        <v>-163286.69096848791</v>
      </c>
      <c r="D322" s="11">
        <f t="shared" si="58"/>
        <v>-167795.58371485496</v>
      </c>
      <c r="E322" s="11">
        <f t="shared" si="58"/>
        <v>-167795.19703758025</v>
      </c>
      <c r="F322" s="11">
        <f t="shared" si="58"/>
        <v>-166967.16718494284</v>
      </c>
      <c r="G322" s="11">
        <f t="shared" si="58"/>
        <v>-166968.08566040927</v>
      </c>
      <c r="H322" s="11">
        <f t="shared" si="58"/>
        <v>-166967.26386657089</v>
      </c>
      <c r="I322" s="11">
        <f t="shared" si="58"/>
        <v>-171565.73214132251</v>
      </c>
      <c r="J322" s="11">
        <f t="shared" si="58"/>
        <v>-157089.30192911165</v>
      </c>
      <c r="K322" s="11">
        <f t="shared" si="58"/>
        <v>-159183.90940072807</v>
      </c>
      <c r="L322" s="11">
        <f t="shared" si="59"/>
        <v>-159927.92291859357</v>
      </c>
      <c r="M322" s="11">
        <f t="shared" si="59"/>
        <v>-150192.71135570671</v>
      </c>
      <c r="N322" s="11">
        <f t="shared" si="59"/>
        <v>-142470.12129309081</v>
      </c>
      <c r="O322" s="11">
        <f t="shared" si="59"/>
        <v>-122757.36576509484</v>
      </c>
    </row>
    <row r="323" spans="1:15">
      <c r="A323">
        <v>18</v>
      </c>
      <c r="B323" s="11">
        <f t="shared" si="58"/>
        <v>-158532.2228482744</v>
      </c>
      <c r="C323" s="11">
        <f t="shared" si="58"/>
        <v>-158530.76793057079</v>
      </c>
      <c r="D323" s="11">
        <f t="shared" si="58"/>
        <v>-162908.33370374268</v>
      </c>
      <c r="E323" s="11">
        <f t="shared" si="58"/>
        <v>-162907.95828891287</v>
      </c>
      <c r="F323" s="11">
        <f t="shared" si="58"/>
        <v>-162104.04581062411</v>
      </c>
      <c r="G323" s="11">
        <f t="shared" si="58"/>
        <v>-162104.93753437794</v>
      </c>
      <c r="H323" s="11">
        <f t="shared" si="58"/>
        <v>-162104.13967628244</v>
      </c>
      <c r="I323" s="11">
        <f t="shared" si="58"/>
        <v>-166568.6719818665</v>
      </c>
      <c r="J323" s="11">
        <f t="shared" si="58"/>
        <v>-152513.88536806955</v>
      </c>
      <c r="K323" s="11">
        <f t="shared" si="58"/>
        <v>-154547.4848550758</v>
      </c>
      <c r="L323" s="11">
        <f t="shared" si="59"/>
        <v>-155269.82807630443</v>
      </c>
      <c r="M323" s="11">
        <f t="shared" si="59"/>
        <v>-145818.16636476381</v>
      </c>
      <c r="N323" s="11">
        <f t="shared" si="59"/>
        <v>-138320.5061097969</v>
      </c>
      <c r="O323" s="11">
        <f t="shared" si="59"/>
        <v>-119181.90850980082</v>
      </c>
    </row>
    <row r="324" spans="1:15">
      <c r="A324">
        <v>19</v>
      </c>
      <c r="B324" s="11">
        <f t="shared" si="58"/>
        <v>-153914.77946434409</v>
      </c>
      <c r="C324" s="11">
        <f t="shared" si="58"/>
        <v>-153913.36692288428</v>
      </c>
      <c r="D324" s="11">
        <f t="shared" si="58"/>
        <v>-158163.43078033268</v>
      </c>
      <c r="E324" s="11">
        <f t="shared" si="58"/>
        <v>-158163.0662999154</v>
      </c>
      <c r="F324" s="11">
        <f t="shared" si="58"/>
        <v>-157382.56874817878</v>
      </c>
      <c r="G324" s="11">
        <f t="shared" si="58"/>
        <v>-157383.43449939607</v>
      </c>
      <c r="H324" s="11">
        <f t="shared" si="58"/>
        <v>-157382.65987988588</v>
      </c>
      <c r="I324" s="11">
        <f t="shared" si="58"/>
        <v>-161717.15726394806</v>
      </c>
      <c r="J324" s="11">
        <f t="shared" si="58"/>
        <v>-148071.73336705781</v>
      </c>
      <c r="K324" s="11">
        <f t="shared" si="58"/>
        <v>-150046.10180104448</v>
      </c>
      <c r="L324" s="11">
        <f t="shared" si="59"/>
        <v>-150747.40589932469</v>
      </c>
      <c r="M324" s="11">
        <f t="shared" si="59"/>
        <v>-141571.03530559593</v>
      </c>
      <c r="N324" s="11">
        <f t="shared" si="59"/>
        <v>-134291.75350465719</v>
      </c>
      <c r="O324" s="11">
        <f t="shared" si="59"/>
        <v>-115710.59078621439</v>
      </c>
    </row>
    <row r="325" spans="1:15">
      <c r="A325">
        <v>20</v>
      </c>
      <c r="B325" s="11">
        <f t="shared" si="58"/>
        <v>-149431.82472266417</v>
      </c>
      <c r="C325" s="11">
        <f t="shared" si="58"/>
        <v>-149430.45332318862</v>
      </c>
      <c r="D325" s="11">
        <f t="shared" si="58"/>
        <v>-153556.72891294435</v>
      </c>
      <c r="E325" s="11">
        <f t="shared" si="58"/>
        <v>-153556.37504846157</v>
      </c>
      <c r="F325" s="11">
        <f t="shared" si="58"/>
        <v>-152798.61043512501</v>
      </c>
      <c r="G325" s="11">
        <f t="shared" si="58"/>
        <v>-152799.45097028743</v>
      </c>
      <c r="H325" s="11">
        <f t="shared" si="58"/>
        <v>-152798.69891251056</v>
      </c>
      <c r="I325" s="11">
        <f t="shared" si="58"/>
        <v>-157006.94879994958</v>
      </c>
      <c r="J325" s="11">
        <f t="shared" si="58"/>
        <v>-143758.96443403672</v>
      </c>
      <c r="K325" s="11">
        <f t="shared" si="58"/>
        <v>-145675.82699130531</v>
      </c>
      <c r="L325" s="11">
        <f t="shared" si="59"/>
        <v>-146356.70475662593</v>
      </c>
      <c r="M325" s="11">
        <f t="shared" si="59"/>
        <v>-137447.60709281158</v>
      </c>
      <c r="N325" s="11">
        <f t="shared" si="59"/>
        <v>-130380.34320840504</v>
      </c>
      <c r="O325" s="11">
        <f t="shared" si="59"/>
        <v>-112340.37940409164</v>
      </c>
    </row>
    <row r="327" spans="1:15">
      <c r="A327" t="s">
        <v>226</v>
      </c>
      <c r="B327" s="11">
        <f>SUM(B306:B325)</f>
        <v>-4023149.9791448801</v>
      </c>
      <c r="C327" s="11">
        <f t="shared" ref="C327:O327" si="60">SUM(C306:C325)</f>
        <v>-4023113.0569846807</v>
      </c>
      <c r="D327" s="11">
        <f t="shared" si="60"/>
        <v>-4134204.690802855</v>
      </c>
      <c r="E327" s="11">
        <f t="shared" si="60"/>
        <v>-4134195.1637165784</v>
      </c>
      <c r="F327" s="11">
        <f t="shared" si="60"/>
        <v>-4113793.8824366382</v>
      </c>
      <c r="G327" s="11">
        <f t="shared" si="60"/>
        <v>-4113816.5121477288</v>
      </c>
      <c r="H327" s="11">
        <f t="shared" si="60"/>
        <v>-4113796.2645114912</v>
      </c>
      <c r="I327" s="11">
        <f t="shared" si="60"/>
        <v>-4227094.8906797012</v>
      </c>
      <c r="J327" s="11">
        <f t="shared" si="60"/>
        <v>-3870419.6769201639</v>
      </c>
      <c r="K327" s="11">
        <f t="shared" si="60"/>
        <v>-3922027.3285807883</v>
      </c>
      <c r="L327" s="11">
        <f t="shared" si="60"/>
        <v>-3940358.5868146606</v>
      </c>
      <c r="M327" s="11">
        <f t="shared" si="60"/>
        <v>-3700499.1315286397</v>
      </c>
      <c r="N327" s="11">
        <f t="shared" si="60"/>
        <v>-3510227.3296421897</v>
      </c>
      <c r="O327" s="11">
        <f t="shared" si="60"/>
        <v>-3024537.7508807909</v>
      </c>
    </row>
    <row r="329" spans="1:15">
      <c r="A329" t="s">
        <v>227</v>
      </c>
      <c r="B329" s="11">
        <f t="shared" ref="B329:O329" si="61">B327+B302+B223+$B$220+$B$219+B277+B249+B250+B225</f>
        <v>-20732495.492128111</v>
      </c>
      <c r="C329" s="11">
        <f t="shared" si="61"/>
        <v>-20871886.062315486</v>
      </c>
      <c r="D329" s="11">
        <f t="shared" si="61"/>
        <v>-21295202.233208805</v>
      </c>
      <c r="E329" s="11">
        <f t="shared" si="61"/>
        <v>-21360444.242616121</v>
      </c>
      <c r="F329" s="11">
        <f t="shared" si="61"/>
        <v>-21651470.762123555</v>
      </c>
      <c r="G329" s="11">
        <f t="shared" si="61"/>
        <v>-21738211.56320139</v>
      </c>
      <c r="H329" s="11">
        <f t="shared" si="61"/>
        <v>-21774560.684881184</v>
      </c>
      <c r="I329" s="11">
        <f t="shared" si="61"/>
        <v>-20680432.504866868</v>
      </c>
      <c r="J329" s="11">
        <f t="shared" si="61"/>
        <v>-22592079.465865694</v>
      </c>
      <c r="K329" s="11">
        <f t="shared" si="61"/>
        <v>-21568359.661890462</v>
      </c>
      <c r="L329" s="11">
        <f t="shared" si="61"/>
        <v>-20828286.946967237</v>
      </c>
      <c r="M329" s="11">
        <f t="shared" si="61"/>
        <v>-16983967.484267652</v>
      </c>
      <c r="N329" s="11">
        <f t="shared" si="61"/>
        <v>-17569123.174409784</v>
      </c>
      <c r="O329" s="11">
        <f t="shared" si="61"/>
        <v>-18602903.465999115</v>
      </c>
    </row>
    <row r="330" spans="1:15">
      <c r="A330" t="s">
        <v>233</v>
      </c>
      <c r="B330" s="11">
        <f t="shared" ref="B330:O330" si="62">B329-$B$184</f>
        <v>-21162608158.281609</v>
      </c>
      <c r="C330" s="11">
        <f t="shared" si="62"/>
        <v>-21162747548.851799</v>
      </c>
      <c r="D330" s="11">
        <f t="shared" si="62"/>
        <v>-21163170865.02269</v>
      </c>
      <c r="E330" s="11">
        <f t="shared" si="62"/>
        <v>-21163236107.032097</v>
      </c>
      <c r="F330" s="11">
        <f t="shared" si="62"/>
        <v>-21163527133.551605</v>
      </c>
      <c r="G330" s="11">
        <f t="shared" si="62"/>
        <v>-21163613874.352684</v>
      </c>
      <c r="H330" s="11">
        <f t="shared" si="62"/>
        <v>-21163650223.474361</v>
      </c>
      <c r="I330" s="11">
        <f t="shared" si="62"/>
        <v>-21162556095.29435</v>
      </c>
      <c r="J330" s="11">
        <f t="shared" si="62"/>
        <v>-21164467742.255348</v>
      </c>
      <c r="K330" s="11">
        <f t="shared" si="62"/>
        <v>-21163444022.451374</v>
      </c>
      <c r="L330" s="11">
        <f t="shared" si="62"/>
        <v>-21162703949.73645</v>
      </c>
      <c r="M330" s="11">
        <f t="shared" si="62"/>
        <v>-21158859630.27375</v>
      </c>
      <c r="N330" s="11">
        <f t="shared" si="62"/>
        <v>-21159444785.96389</v>
      </c>
      <c r="O330" s="11">
        <f t="shared" si="62"/>
        <v>-21160478566.255482</v>
      </c>
    </row>
    <row r="331" spans="1:15">
      <c r="A331" t="s">
        <v>230</v>
      </c>
      <c r="B331" s="9">
        <f t="shared" ref="B331:O331" si="63">1-B244/$B$180</f>
        <v>0.18951144780676943</v>
      </c>
      <c r="C331" s="9">
        <f t="shared" si="63"/>
        <v>0.1899838902163794</v>
      </c>
      <c r="D331" s="9">
        <f t="shared" si="63"/>
        <v>0.2480552901964701</v>
      </c>
      <c r="E331" s="9">
        <f t="shared" si="63"/>
        <v>0.24852649649453107</v>
      </c>
      <c r="F331" s="9">
        <f t="shared" si="63"/>
        <v>0.27581051594324735</v>
      </c>
      <c r="G331" s="9">
        <f t="shared" si="63"/>
        <v>0.27580949485283868</v>
      </c>
      <c r="H331" s="9">
        <f t="shared" si="63"/>
        <v>0.27581040846004645</v>
      </c>
      <c r="I331" s="9">
        <f t="shared" si="63"/>
        <v>0.3615580340342438</v>
      </c>
      <c r="J331" s="9">
        <f t="shared" si="63"/>
        <v>0.31927554007696402</v>
      </c>
      <c r="K331" s="9">
        <f t="shared" si="63"/>
        <v>0.40215744854843827</v>
      </c>
      <c r="L331" s="9">
        <f t="shared" si="63"/>
        <v>0.47853764440038959</v>
      </c>
      <c r="M331" s="9">
        <f t="shared" si="63"/>
        <v>0.64707060484477985</v>
      </c>
      <c r="N331" s="9">
        <f t="shared" si="63"/>
        <v>0.66083452736240356</v>
      </c>
      <c r="O331" s="9">
        <f t="shared" si="63"/>
        <v>0.69498984030750255</v>
      </c>
    </row>
    <row r="333" spans="1:15">
      <c r="A333" t="s">
        <v>236</v>
      </c>
      <c r="B333" s="40" t="s">
        <v>161</v>
      </c>
    </row>
    <row r="334" spans="1:15">
      <c r="A334" s="10" t="s">
        <v>237</v>
      </c>
      <c r="B334" s="12">
        <f>B302+B277+B223+B250+B249-$B$182-$B$181</f>
        <v>1176325.8183533782</v>
      </c>
      <c r="C334" s="12">
        <f t="shared" ref="C334:O334" si="64">C302+C277+C223+C250+C249-$B$182-$B$181</f>
        <v>1036898.3260058025</v>
      </c>
      <c r="D334" s="12">
        <f t="shared" si="64"/>
        <v>734855.08893066179</v>
      </c>
      <c r="E334" s="12">
        <f t="shared" si="64"/>
        <v>669603.5524370661</v>
      </c>
      <c r="F334" s="12">
        <f t="shared" si="64"/>
        <v>359649.33164969366</v>
      </c>
      <c r="G334" s="12">
        <f t="shared" si="64"/>
        <v>272931.16028294619</v>
      </c>
      <c r="H334" s="12">
        <f t="shared" si="64"/>
        <v>236561.7909669159</v>
      </c>
      <c r="I334" s="12">
        <f t="shared" si="64"/>
        <v>1445320.9171494441</v>
      </c>
      <c r="J334" s="12">
        <f t="shared" si="64"/>
        <v>-818448.11760891881</v>
      </c>
      <c r="K334" s="12">
        <f t="shared" si="64"/>
        <v>259195.82802693825</v>
      </c>
      <c r="L334" s="12">
        <f t="shared" si="64"/>
        <v>1020673.6911840355</v>
      </c>
      <c r="M334" s="12">
        <f t="shared" si="64"/>
        <v>4636685.8585975962</v>
      </c>
      <c r="N334" s="12">
        <f t="shared" si="64"/>
        <v>3865099.5965690138</v>
      </c>
      <c r="O334" s="12">
        <f t="shared" si="64"/>
        <v>2355182.056218286</v>
      </c>
    </row>
    <row r="335" spans="1:15">
      <c r="A335" s="10" t="s">
        <v>238</v>
      </c>
      <c r="B335" s="12">
        <f t="shared" ref="B335:O335" si="65">B327+B225+$B$220-$B$183</f>
        <v>1353967.5005601533</v>
      </c>
      <c r="C335" s="12">
        <f t="shared" si="65"/>
        <v>1354004.4227203522</v>
      </c>
      <c r="D335" s="12">
        <f t="shared" si="65"/>
        <v>1232731.4889021777</v>
      </c>
      <c r="E335" s="12">
        <f t="shared" si="65"/>
        <v>1232741.0159884542</v>
      </c>
      <c r="F335" s="12">
        <f t="shared" si="65"/>
        <v>1251668.7172683943</v>
      </c>
      <c r="G335" s="12">
        <f t="shared" si="65"/>
        <v>1251646.0875573047</v>
      </c>
      <c r="H335" s="12">
        <f t="shared" si="65"/>
        <v>1251666.3351935418</v>
      </c>
      <c r="I335" s="12">
        <f t="shared" si="65"/>
        <v>1137035.3890253315</v>
      </c>
      <c r="J335" s="12">
        <f t="shared" si="65"/>
        <v>1489157.4627848696</v>
      </c>
      <c r="K335" s="12">
        <f t="shared" si="65"/>
        <v>1435233.3211242445</v>
      </c>
      <c r="L335" s="12">
        <f t="shared" si="65"/>
        <v>1413828.1728903726</v>
      </c>
      <c r="M335" s="12">
        <f t="shared" si="65"/>
        <v>1642135.4681763928</v>
      </c>
      <c r="N335" s="12">
        <f t="shared" si="65"/>
        <v>1828566.0400628429</v>
      </c>
      <c r="O335" s="12">
        <f t="shared" si="65"/>
        <v>2304703.2888242416</v>
      </c>
    </row>
    <row r="336" spans="1:15">
      <c r="A336" s="10" t="s">
        <v>239</v>
      </c>
      <c r="B336" s="12">
        <f>B334+B335</f>
        <v>2530293.3189135315</v>
      </c>
      <c r="C336" s="12">
        <f t="shared" ref="C336:O336" si="66">C334+C335</f>
        <v>2390902.7487261547</v>
      </c>
      <c r="D336" s="12">
        <f t="shared" si="66"/>
        <v>1967586.5778328395</v>
      </c>
      <c r="E336" s="12">
        <f t="shared" si="66"/>
        <v>1902344.5684255203</v>
      </c>
      <c r="F336" s="12">
        <f t="shared" si="66"/>
        <v>1611318.048918088</v>
      </c>
      <c r="G336" s="12">
        <f t="shared" si="66"/>
        <v>1524577.2478402508</v>
      </c>
      <c r="H336" s="12">
        <f t="shared" si="66"/>
        <v>1488228.1261604577</v>
      </c>
      <c r="I336" s="12">
        <f t="shared" si="66"/>
        <v>2582356.3061747756</v>
      </c>
      <c r="J336" s="12">
        <f t="shared" si="66"/>
        <v>670709.34517595079</v>
      </c>
      <c r="K336" s="12">
        <f t="shared" si="66"/>
        <v>1694429.1491511827</v>
      </c>
      <c r="L336" s="12">
        <f t="shared" si="66"/>
        <v>2434501.8640744081</v>
      </c>
      <c r="M336" s="12">
        <f t="shared" si="66"/>
        <v>6278821.326773989</v>
      </c>
      <c r="N336" s="12">
        <f t="shared" si="66"/>
        <v>5693665.6366318567</v>
      </c>
      <c r="O336" s="12">
        <f t="shared" si="66"/>
        <v>4659885.3450425277</v>
      </c>
    </row>
    <row r="337" spans="1:15">
      <c r="A337" s="10" t="s">
        <v>159</v>
      </c>
      <c r="B337" s="13">
        <f>-(B336-$B$219-$B$220)/($B$219+$B$220)</f>
        <v>2.7893056346959835</v>
      </c>
      <c r="C337" s="13">
        <f t="shared" ref="C337:O337" si="67">-(C336-$B$219-$B$220-C223-C225)/($B$219+$B$220+C223+C225)</f>
        <v>2.5948705648607309</v>
      </c>
      <c r="D337" s="13">
        <f t="shared" si="67"/>
        <v>1.7952088877000372</v>
      </c>
      <c r="E337" s="13">
        <f t="shared" si="67"/>
        <v>1.7433061468034678</v>
      </c>
      <c r="F337" s="13">
        <f t="shared" si="67"/>
        <v>1.5414784324498694</v>
      </c>
      <c r="G337" s="13">
        <f t="shared" si="67"/>
        <v>1.4981016855471019</v>
      </c>
      <c r="H337" s="13">
        <f t="shared" si="67"/>
        <v>1.4807287567853848</v>
      </c>
      <c r="I337" s="13">
        <f t="shared" si="67"/>
        <v>1.6575721045744771</v>
      </c>
      <c r="J337" s="13">
        <f t="shared" si="67"/>
        <v>1.1684496534038726</v>
      </c>
      <c r="K337" s="13">
        <f t="shared" si="67"/>
        <v>1.3434205558895171</v>
      </c>
      <c r="L337" s="13">
        <f t="shared" si="67"/>
        <v>1.4318750850506023</v>
      </c>
      <c r="M337" s="13">
        <f t="shared" si="67"/>
        <v>2.0048359934520805</v>
      </c>
      <c r="N337" s="13">
        <f t="shared" si="67"/>
        <v>1.8432006750434862</v>
      </c>
      <c r="O337" s="13">
        <f t="shared" si="67"/>
        <v>1.600346217005796</v>
      </c>
    </row>
    <row r="339" spans="1:15">
      <c r="A339" t="s">
        <v>202</v>
      </c>
    </row>
    <row r="340" spans="1:15">
      <c r="A340" s="10" t="s">
        <v>203</v>
      </c>
      <c r="B340" s="12"/>
      <c r="C340" s="12">
        <f t="shared" ref="C340:O340" si="68">C334-$B$334</f>
        <v>-139427.49234757572</v>
      </c>
      <c r="D340" s="12">
        <f t="shared" si="68"/>
        <v>-441470.72942271642</v>
      </c>
      <c r="E340" s="12">
        <f t="shared" si="68"/>
        <v>-506722.26591631211</v>
      </c>
      <c r="F340" s="12">
        <f t="shared" si="68"/>
        <v>-816676.48670368455</v>
      </c>
      <c r="G340" s="12">
        <f t="shared" si="68"/>
        <v>-903394.65807043202</v>
      </c>
      <c r="H340" s="12">
        <f t="shared" si="68"/>
        <v>-939764.02738646232</v>
      </c>
      <c r="I340" s="12">
        <f t="shared" si="68"/>
        <v>268995.0987960659</v>
      </c>
      <c r="J340" s="12">
        <f t="shared" si="68"/>
        <v>-1994773.935962297</v>
      </c>
      <c r="K340" s="12">
        <f t="shared" si="68"/>
        <v>-917129.99032643996</v>
      </c>
      <c r="L340" s="12">
        <f t="shared" si="68"/>
        <v>-155652.12716934271</v>
      </c>
      <c r="M340" s="12">
        <f t="shared" si="68"/>
        <v>3460360.040244218</v>
      </c>
      <c r="N340" s="12">
        <f t="shared" si="68"/>
        <v>2688773.7782156356</v>
      </c>
      <c r="O340" s="12">
        <f t="shared" si="68"/>
        <v>1178856.2378649078</v>
      </c>
    </row>
    <row r="341" spans="1:15">
      <c r="A341" s="10" t="s">
        <v>204</v>
      </c>
      <c r="B341" s="12"/>
      <c r="C341" s="12">
        <f>C335-$B$335</f>
        <v>36.922160198912024</v>
      </c>
      <c r="D341" s="12">
        <f t="shared" ref="D341:O341" si="69">D335-$B$335</f>
        <v>-121236.01165797561</v>
      </c>
      <c r="E341" s="12">
        <f t="shared" si="69"/>
        <v>-121226.48457169905</v>
      </c>
      <c r="F341" s="12">
        <f t="shared" si="69"/>
        <v>-102298.78329175897</v>
      </c>
      <c r="G341" s="12">
        <f t="shared" si="69"/>
        <v>-102321.41300284863</v>
      </c>
      <c r="H341" s="12">
        <f t="shared" si="69"/>
        <v>-102301.16536661144</v>
      </c>
      <c r="I341" s="12">
        <f t="shared" si="69"/>
        <v>-216932.1115348218</v>
      </c>
      <c r="J341" s="12">
        <f t="shared" si="69"/>
        <v>135189.96222471632</v>
      </c>
      <c r="K341" s="12">
        <f t="shared" si="69"/>
        <v>81265.820564091206</v>
      </c>
      <c r="L341" s="12">
        <f t="shared" si="69"/>
        <v>59860.672330219299</v>
      </c>
      <c r="M341" s="12">
        <f t="shared" si="69"/>
        <v>288167.96761623956</v>
      </c>
      <c r="N341" s="12">
        <f t="shared" si="69"/>
        <v>474598.53950268961</v>
      </c>
      <c r="O341" s="12">
        <f t="shared" si="69"/>
        <v>950735.78826408833</v>
      </c>
    </row>
    <row r="342" spans="1:15">
      <c r="A342" s="10" t="s">
        <v>205</v>
      </c>
      <c r="B342" s="12"/>
      <c r="C342" s="12">
        <f>C341+C340</f>
        <v>-139390.57018737681</v>
      </c>
      <c r="D342" s="12">
        <f t="shared" ref="D342:O342" si="70">D341+D340</f>
        <v>-562706.74108069204</v>
      </c>
      <c r="E342" s="12">
        <f t="shared" si="70"/>
        <v>-627948.75048801117</v>
      </c>
      <c r="F342" s="12">
        <f t="shared" si="70"/>
        <v>-918975.26999544352</v>
      </c>
      <c r="G342" s="12">
        <f t="shared" si="70"/>
        <v>-1005716.0710732806</v>
      </c>
      <c r="H342" s="12">
        <f t="shared" si="70"/>
        <v>-1042065.1927530738</v>
      </c>
      <c r="I342" s="12">
        <f t="shared" si="70"/>
        <v>52062.987261244096</v>
      </c>
      <c r="J342" s="12">
        <f t="shared" si="70"/>
        <v>-1859583.9737375807</v>
      </c>
      <c r="K342" s="12">
        <f t="shared" si="70"/>
        <v>-835864.16976234876</v>
      </c>
      <c r="L342" s="12">
        <f t="shared" si="70"/>
        <v>-95791.454839123413</v>
      </c>
      <c r="M342" s="12">
        <f t="shared" si="70"/>
        <v>3748528.0078604575</v>
      </c>
      <c r="N342" s="12">
        <f t="shared" si="70"/>
        <v>3163372.3177183252</v>
      </c>
      <c r="O342" s="12">
        <f t="shared" si="70"/>
        <v>2129592.0261289962</v>
      </c>
    </row>
    <row r="343" spans="1:15">
      <c r="A343" s="10" t="s">
        <v>206</v>
      </c>
      <c r="B343" s="13"/>
      <c r="C343" s="13">
        <f t="shared" ref="C343:O343" si="71">-(C342-C225-C223)/(C225+C223)</f>
        <v>-0.6398890610279625</v>
      </c>
      <c r="D343" s="13">
        <f t="shared" si="71"/>
        <v>0.4692353646676356</v>
      </c>
      <c r="E343" s="13">
        <f t="shared" si="71"/>
        <v>0.45165996817446186</v>
      </c>
      <c r="F343" s="13">
        <f t="shared" si="71"/>
        <v>0.41153754151144867</v>
      </c>
      <c r="G343" s="13">
        <f t="shared" si="71"/>
        <v>0.38923688060652956</v>
      </c>
      <c r="H343" s="13">
        <f t="shared" si="71"/>
        <v>0.38033350056161713</v>
      </c>
      <c r="I343" s="13">
        <f t="shared" si="71"/>
        <v>1.0207175696164486</v>
      </c>
      <c r="J343" s="13">
        <f t="shared" si="71"/>
        <v>0.27573329822051373</v>
      </c>
      <c r="K343" s="13">
        <f t="shared" si="71"/>
        <v>0.7625289294046802</v>
      </c>
      <c r="L343" s="13">
        <f t="shared" si="71"/>
        <v>0.97731635653281013</v>
      </c>
      <c r="M343" s="13">
        <f t="shared" si="71"/>
        <v>1.7753731062670468</v>
      </c>
      <c r="N343" s="13">
        <f t="shared" si="71"/>
        <v>1.592577792680768</v>
      </c>
      <c r="O343" s="13">
        <f t="shared" si="71"/>
        <v>1.3354810142033888</v>
      </c>
    </row>
    <row r="345" spans="1:15">
      <c r="B345" t="s">
        <v>8</v>
      </c>
    </row>
    <row r="346" spans="1:15">
      <c r="B346" t="s">
        <v>293</v>
      </c>
    </row>
  </sheetData>
  <conditionalFormatting sqref="B334:O334">
    <cfRule type="colorScale" priority="179">
      <colorScale>
        <cfvo type="min"/>
        <cfvo type="max"/>
        <color rgb="FFFCFCFF"/>
        <color rgb="FF63BE7B"/>
      </colorScale>
    </cfRule>
  </conditionalFormatting>
  <conditionalFormatting sqref="C336:O336">
    <cfRule type="colorScale" priority="181">
      <colorScale>
        <cfvo type="min"/>
        <cfvo type="max"/>
        <color rgb="FFFCFCFF"/>
        <color rgb="FF63BE7B"/>
      </colorScale>
    </cfRule>
  </conditionalFormatting>
  <conditionalFormatting sqref="C340:O340">
    <cfRule type="colorScale" priority="183">
      <colorScale>
        <cfvo type="min"/>
        <cfvo type="max"/>
        <color rgb="FFFCFCFF"/>
        <color rgb="FF63BE7B"/>
      </colorScale>
    </cfRule>
  </conditionalFormatting>
  <conditionalFormatting sqref="C341:O341">
    <cfRule type="colorScale" priority="185">
      <colorScale>
        <cfvo type="min"/>
        <cfvo type="max"/>
        <color rgb="FFFCFCFF"/>
        <color rgb="FF63BE7B"/>
      </colorScale>
    </cfRule>
  </conditionalFormatting>
  <conditionalFormatting sqref="C342:O342">
    <cfRule type="colorScale" priority="187">
      <colorScale>
        <cfvo type="min"/>
        <cfvo type="max"/>
        <color rgb="FFFCFCFF"/>
        <color rgb="FF63BE7B"/>
      </colorScale>
    </cfRule>
  </conditionalFormatting>
  <conditionalFormatting sqref="B335:O335">
    <cfRule type="colorScale" priority="189">
      <colorScale>
        <cfvo type="min"/>
        <cfvo type="max"/>
        <color rgb="FFFCFCFF"/>
        <color rgb="FF63BE7B"/>
      </colorScale>
    </cfRule>
  </conditionalFormatting>
  <pageMargins left="0.7" right="0.7" top="0.75" bottom="0.75" header="0.3" footer="0.3"/>
  <pageSetup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Coverpage</vt:lpstr>
      <vt:lpstr>README</vt:lpstr>
      <vt:lpstr>NO-EE Detailed</vt:lpstr>
      <vt:lpstr>Genset O&amp;M Costs</vt:lpstr>
      <vt:lpstr>Genset Capital Costs</vt:lpstr>
      <vt:lpstr>Assumptions</vt:lpstr>
      <vt:lpstr>Low-EE Detailed</vt:lpstr>
      <vt:lpstr>Low-EE no Stoves Detailed</vt:lpstr>
      <vt:lpstr>Med-EE Detailed</vt:lpstr>
      <vt:lpstr>Med-EE no Stoves Detailed</vt:lpstr>
      <vt:lpstr>High-EE Detailed</vt:lpstr>
      <vt:lpstr>High-EE no Stoves Detailed</vt:lpstr>
      <vt:lpstr>Highlights</vt:lpstr>
      <vt:lpstr>NPV Plotting</vt:lpstr>
      <vt:lpstr>Diesal Runtime</vt:lpstr>
      <vt:lpstr>Stoves</vt:lpstr>
      <vt:lpstr>Fuel Cost Sensitivity</vt:lpstr>
      <vt:lpstr>%Fuel Plotting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2017-12-20T21:16:14Z</dcterms:created>
  <dcterms:modified xsi:type="dcterms:W3CDTF">2017-12-20T21:16:17Z</dcterms:modified>
</cp:coreProperties>
</file>